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9095" windowHeight="7695"/>
  </bookViews>
  <sheets>
    <sheet name="Контингент" sheetId="1" r:id="rId1"/>
  </sheets>
  <calcPr calcId="0" refMode="R1C1"/>
</workbook>
</file>

<file path=xl/calcChain.xml><?xml version="1.0" encoding="utf-8"?>
<calcChain xmlns="http://schemas.openxmlformats.org/spreadsheetml/2006/main">
  <c r="C2" i="1"/>
  <c r="R2"/>
  <c r="S2"/>
  <c r="T2"/>
  <c r="U2"/>
  <c r="V2"/>
  <c r="X2"/>
  <c r="C3"/>
  <c r="R3"/>
  <c r="S3"/>
  <c r="T3"/>
  <c r="U3"/>
  <c r="V3"/>
  <c r="X3"/>
  <c r="C4"/>
  <c r="R4"/>
  <c r="S4"/>
  <c r="T4"/>
  <c r="U4"/>
  <c r="V4"/>
  <c r="X4"/>
  <c r="C5"/>
  <c r="R5"/>
  <c r="S5"/>
  <c r="T5"/>
  <c r="U5"/>
  <c r="V5"/>
  <c r="X5"/>
  <c r="C6"/>
  <c r="R6"/>
  <c r="S6"/>
  <c r="T6"/>
  <c r="U6"/>
  <c r="V6"/>
  <c r="X6"/>
  <c r="C7"/>
  <c r="R7"/>
  <c r="S7"/>
  <c r="T7"/>
  <c r="U7"/>
  <c r="V7"/>
  <c r="X7"/>
  <c r="C8"/>
  <c r="R8"/>
  <c r="S8"/>
  <c r="T8"/>
  <c r="U8"/>
  <c r="V8"/>
  <c r="X8"/>
  <c r="C9"/>
  <c r="R9"/>
  <c r="S9"/>
  <c r="T9"/>
  <c r="U9"/>
  <c r="V9"/>
  <c r="X9"/>
  <c r="C10"/>
  <c r="R10"/>
  <c r="S10"/>
  <c r="T10"/>
  <c r="U10"/>
  <c r="V10"/>
  <c r="X10"/>
  <c r="C11"/>
  <c r="R11"/>
  <c r="S11"/>
  <c r="T11"/>
  <c r="U11"/>
  <c r="V11"/>
  <c r="X11"/>
  <c r="C12"/>
  <c r="R12"/>
  <c r="S12"/>
  <c r="T12"/>
  <c r="U12"/>
  <c r="V12"/>
  <c r="X12"/>
  <c r="C13"/>
  <c r="R13"/>
  <c r="S13"/>
  <c r="T13"/>
  <c r="U13"/>
  <c r="V13"/>
  <c r="X13"/>
  <c r="C14"/>
  <c r="R14"/>
  <c r="S14"/>
  <c r="T14"/>
  <c r="U14"/>
  <c r="V14"/>
  <c r="X14"/>
  <c r="C15"/>
  <c r="R15"/>
  <c r="S15"/>
  <c r="T15"/>
  <c r="U15"/>
  <c r="V15"/>
  <c r="X15"/>
  <c r="C16"/>
  <c r="R16"/>
  <c r="S16"/>
  <c r="T16"/>
  <c r="U16"/>
  <c r="V16"/>
  <c r="X16"/>
  <c r="C17"/>
  <c r="R17"/>
  <c r="S17"/>
  <c r="T17"/>
  <c r="U17"/>
  <c r="V17"/>
  <c r="X17"/>
  <c r="C18"/>
  <c r="R18"/>
  <c r="S18"/>
  <c r="T18"/>
  <c r="U18"/>
  <c r="V18"/>
  <c r="X18"/>
  <c r="C19"/>
  <c r="R19"/>
  <c r="S19"/>
  <c r="T19"/>
  <c r="U19"/>
  <c r="V19"/>
  <c r="X19"/>
  <c r="C20"/>
  <c r="R20"/>
  <c r="S20"/>
  <c r="T20"/>
  <c r="U20"/>
  <c r="V20"/>
  <c r="X20"/>
  <c r="C21"/>
  <c r="R21"/>
  <c r="S21"/>
  <c r="T21"/>
  <c r="U21"/>
  <c r="V21"/>
  <c r="X21"/>
  <c r="C22"/>
  <c r="R22"/>
  <c r="S22"/>
  <c r="T22"/>
  <c r="U22"/>
  <c r="V22"/>
  <c r="X22"/>
  <c r="C23"/>
  <c r="R23"/>
  <c r="S23"/>
  <c r="T23"/>
  <c r="U23"/>
  <c r="V23"/>
  <c r="X23"/>
  <c r="C24"/>
  <c r="R24"/>
  <c r="S24"/>
  <c r="T24"/>
  <c r="U24"/>
  <c r="V24"/>
  <c r="X24"/>
  <c r="C25"/>
  <c r="R25"/>
  <c r="S25"/>
  <c r="T25"/>
  <c r="U25"/>
  <c r="V25"/>
  <c r="X25"/>
  <c r="C26"/>
  <c r="R26"/>
  <c r="S26"/>
  <c r="T26"/>
  <c r="U26"/>
  <c r="V26"/>
  <c r="X26"/>
  <c r="C27"/>
  <c r="R27"/>
  <c r="S27"/>
  <c r="T27"/>
  <c r="U27"/>
  <c r="V27"/>
  <c r="X27"/>
  <c r="C28"/>
  <c r="R28"/>
  <c r="S28"/>
  <c r="T28"/>
  <c r="U28"/>
  <c r="V28"/>
  <c r="X28"/>
  <c r="C29"/>
  <c r="R29"/>
  <c r="S29"/>
  <c r="T29"/>
  <c r="U29"/>
  <c r="V29"/>
  <c r="X29"/>
  <c r="C30"/>
  <c r="R30"/>
  <c r="S30"/>
  <c r="T30"/>
  <c r="U30"/>
  <c r="V30"/>
  <c r="X30"/>
  <c r="C31"/>
  <c r="R31"/>
  <c r="S31"/>
  <c r="T31"/>
  <c r="U31"/>
  <c r="V31"/>
  <c r="X31"/>
  <c r="C32"/>
  <c r="R32"/>
  <c r="S32"/>
  <c r="T32"/>
  <c r="U32"/>
  <c r="V32"/>
  <c r="X32"/>
  <c r="C33"/>
  <c r="R33"/>
  <c r="S33"/>
  <c r="T33"/>
  <c r="U33"/>
  <c r="V33"/>
  <c r="X33"/>
  <c r="C34"/>
  <c r="R34"/>
  <c r="S34"/>
  <c r="T34"/>
  <c r="U34"/>
  <c r="V34"/>
  <c r="X34"/>
  <c r="C35"/>
  <c r="R35"/>
  <c r="S35"/>
  <c r="T35"/>
  <c r="U35"/>
  <c r="V35"/>
  <c r="X35"/>
  <c r="C36"/>
  <c r="R36"/>
  <c r="S36"/>
  <c r="T36"/>
  <c r="U36"/>
  <c r="V36"/>
  <c r="X36"/>
  <c r="C37"/>
  <c r="R37"/>
  <c r="S37"/>
  <c r="T37"/>
  <c r="U37"/>
  <c r="V37"/>
  <c r="X37"/>
  <c r="C38"/>
  <c r="R38"/>
  <c r="S38"/>
  <c r="T38"/>
  <c r="U38"/>
  <c r="V38"/>
  <c r="X38"/>
  <c r="C39"/>
  <c r="R39"/>
  <c r="S39"/>
  <c r="T39"/>
  <c r="U39"/>
  <c r="V39"/>
  <c r="X39"/>
  <c r="C40"/>
  <c r="R40"/>
  <c r="S40"/>
  <c r="T40"/>
  <c r="U40"/>
  <c r="V40"/>
  <c r="X40"/>
  <c r="C41"/>
  <c r="R41"/>
  <c r="S41"/>
  <c r="T41"/>
  <c r="U41"/>
  <c r="V41"/>
  <c r="X41"/>
  <c r="C42"/>
  <c r="R42"/>
  <c r="S42"/>
  <c r="T42"/>
  <c r="U42"/>
  <c r="V42"/>
  <c r="X42"/>
  <c r="C43"/>
  <c r="R43"/>
  <c r="S43"/>
  <c r="T43"/>
  <c r="U43"/>
  <c r="V43"/>
  <c r="X43"/>
  <c r="C44"/>
  <c r="R44"/>
  <c r="S44"/>
  <c r="T44"/>
  <c r="U44"/>
  <c r="V44"/>
  <c r="X44"/>
  <c r="C45"/>
  <c r="R45"/>
  <c r="S45"/>
  <c r="T45"/>
  <c r="U45"/>
  <c r="V45"/>
  <c r="X45"/>
  <c r="C46"/>
  <c r="R46"/>
  <c r="S46"/>
  <c r="T46"/>
  <c r="U46"/>
  <c r="V46"/>
  <c r="X46"/>
  <c r="C47"/>
  <c r="R47"/>
  <c r="S47"/>
  <c r="T47"/>
  <c r="U47"/>
  <c r="V47"/>
  <c r="X47"/>
  <c r="C48"/>
  <c r="R48"/>
  <c r="S48"/>
  <c r="T48"/>
  <c r="U48"/>
  <c r="V48"/>
  <c r="X48"/>
  <c r="C49"/>
  <c r="R49"/>
  <c r="S49"/>
  <c r="T49"/>
  <c r="U49"/>
  <c r="V49"/>
  <c r="X49"/>
  <c r="C50"/>
  <c r="R50"/>
  <c r="S50"/>
  <c r="T50"/>
  <c r="U50"/>
  <c r="V50"/>
  <c r="X50"/>
  <c r="C51"/>
  <c r="R51"/>
  <c r="S51"/>
  <c r="T51"/>
  <c r="U51"/>
  <c r="V51"/>
  <c r="X51"/>
  <c r="C52"/>
  <c r="R52"/>
  <c r="S52"/>
  <c r="T52"/>
  <c r="U52"/>
  <c r="V52"/>
  <c r="X52"/>
  <c r="C53"/>
  <c r="R53"/>
  <c r="S53"/>
  <c r="T53"/>
  <c r="U53"/>
  <c r="V53"/>
  <c r="X53"/>
  <c r="C54"/>
  <c r="R54"/>
  <c r="S54"/>
  <c r="T54"/>
  <c r="U54"/>
  <c r="V54"/>
  <c r="X54"/>
  <c r="C55"/>
  <c r="R55"/>
  <c r="S55"/>
  <c r="T55"/>
  <c r="U55"/>
  <c r="V55"/>
  <c r="X55"/>
  <c r="C56"/>
  <c r="R56"/>
  <c r="S56"/>
  <c r="T56"/>
  <c r="U56"/>
  <c r="V56"/>
  <c r="X56"/>
  <c r="C57"/>
  <c r="R57"/>
  <c r="S57"/>
  <c r="T57"/>
  <c r="U57"/>
  <c r="V57"/>
  <c r="X57"/>
  <c r="C58"/>
  <c r="R58"/>
  <c r="S58"/>
  <c r="T58"/>
  <c r="U58"/>
  <c r="V58"/>
  <c r="X58"/>
  <c r="C59"/>
  <c r="R59"/>
  <c r="S59"/>
  <c r="T59"/>
  <c r="U59"/>
  <c r="V59"/>
  <c r="X59"/>
  <c r="C60"/>
  <c r="R60"/>
  <c r="S60"/>
  <c r="T60"/>
  <c r="U60"/>
  <c r="V60"/>
  <c r="X60"/>
  <c r="C61"/>
  <c r="R61"/>
  <c r="S61"/>
  <c r="T61"/>
  <c r="U61"/>
  <c r="V61"/>
  <c r="X61"/>
  <c r="C62"/>
  <c r="R62"/>
  <c r="S62"/>
  <c r="T62"/>
  <c r="U62"/>
  <c r="V62"/>
  <c r="X62"/>
  <c r="C63"/>
  <c r="R63"/>
  <c r="S63"/>
  <c r="T63"/>
  <c r="U63"/>
  <c r="V63"/>
  <c r="X63"/>
  <c r="C64"/>
  <c r="R64"/>
  <c r="S64"/>
  <c r="T64"/>
  <c r="U64"/>
  <c r="V64"/>
  <c r="X64"/>
  <c r="C65"/>
  <c r="R65"/>
  <c r="S65"/>
  <c r="T65"/>
  <c r="U65"/>
  <c r="V65"/>
  <c r="X65"/>
  <c r="C66"/>
  <c r="R66"/>
  <c r="S66"/>
  <c r="T66"/>
  <c r="U66"/>
  <c r="V66"/>
  <c r="X66"/>
  <c r="C67"/>
  <c r="R67"/>
  <c r="S67"/>
  <c r="T67"/>
  <c r="U67"/>
  <c r="V67"/>
  <c r="X67"/>
  <c r="C68"/>
  <c r="R68"/>
  <c r="S68"/>
  <c r="T68"/>
  <c r="U68"/>
  <c r="V68"/>
  <c r="X68"/>
  <c r="C69"/>
  <c r="R69"/>
  <c r="S69"/>
  <c r="T69"/>
  <c r="U69"/>
  <c r="V69"/>
  <c r="X69"/>
  <c r="C70"/>
  <c r="R70"/>
  <c r="S70"/>
  <c r="T70"/>
  <c r="U70"/>
  <c r="V70"/>
  <c r="X70"/>
  <c r="C71"/>
  <c r="R71"/>
  <c r="S71"/>
  <c r="T71"/>
  <c r="U71"/>
  <c r="V71"/>
  <c r="X71"/>
  <c r="C72"/>
  <c r="R72"/>
  <c r="S72"/>
  <c r="T72"/>
  <c r="U72"/>
  <c r="V72"/>
  <c r="X72"/>
  <c r="C73"/>
  <c r="R73"/>
  <c r="S73"/>
  <c r="T73"/>
  <c r="U73"/>
  <c r="V73"/>
  <c r="X73"/>
  <c r="C74"/>
  <c r="R74"/>
  <c r="S74"/>
  <c r="T74"/>
  <c r="U74"/>
  <c r="V74"/>
  <c r="X74"/>
  <c r="C75"/>
  <c r="R75"/>
  <c r="S75"/>
  <c r="T75"/>
  <c r="U75"/>
  <c r="V75"/>
  <c r="X75"/>
  <c r="C76"/>
  <c r="R76"/>
  <c r="S76"/>
  <c r="T76"/>
  <c r="U76"/>
  <c r="V76"/>
  <c r="X76"/>
  <c r="C77"/>
  <c r="R77"/>
  <c r="S77"/>
  <c r="T77"/>
  <c r="U77"/>
  <c r="V77"/>
  <c r="X77"/>
  <c r="C78"/>
  <c r="R78"/>
  <c r="S78"/>
  <c r="T78"/>
  <c r="U78"/>
  <c r="V78"/>
  <c r="X78"/>
  <c r="C79"/>
  <c r="R79"/>
  <c r="S79"/>
  <c r="T79"/>
  <c r="U79"/>
  <c r="V79"/>
  <c r="X79"/>
  <c r="C80"/>
  <c r="R80"/>
  <c r="S80"/>
  <c r="T80"/>
  <c r="U80"/>
  <c r="V80"/>
  <c r="X80"/>
  <c r="C81"/>
  <c r="R81"/>
  <c r="S81"/>
  <c r="T81"/>
  <c r="U81"/>
  <c r="V81"/>
  <c r="X81"/>
  <c r="C82"/>
  <c r="R82"/>
  <c r="S82"/>
  <c r="T82"/>
  <c r="U82"/>
  <c r="V82"/>
  <c r="X82"/>
  <c r="C83"/>
  <c r="R83"/>
  <c r="S83"/>
  <c r="T83"/>
  <c r="U83"/>
  <c r="V83"/>
  <c r="X83"/>
  <c r="C84"/>
  <c r="R84"/>
  <c r="S84"/>
  <c r="T84"/>
  <c r="U84"/>
  <c r="V84"/>
  <c r="X84"/>
  <c r="C85"/>
  <c r="R85"/>
  <c r="S85"/>
  <c r="T85"/>
  <c r="U85"/>
  <c r="V85"/>
  <c r="X85"/>
  <c r="C86"/>
  <c r="R86"/>
  <c r="S86"/>
  <c r="T86"/>
  <c r="U86"/>
  <c r="V86"/>
  <c r="X86"/>
  <c r="C87"/>
  <c r="R87"/>
  <c r="S87"/>
  <c r="T87"/>
  <c r="U87"/>
  <c r="V87"/>
  <c r="X87"/>
  <c r="C88"/>
  <c r="R88"/>
  <c r="S88"/>
  <c r="T88"/>
  <c r="U88"/>
  <c r="V88"/>
  <c r="X88"/>
  <c r="C89"/>
  <c r="R89"/>
  <c r="S89"/>
  <c r="T89"/>
  <c r="U89"/>
  <c r="V89"/>
  <c r="X89"/>
  <c r="C90"/>
  <c r="R90"/>
  <c r="S90"/>
  <c r="T90"/>
  <c r="U90"/>
  <c r="V90"/>
  <c r="X90"/>
  <c r="C91"/>
  <c r="R91"/>
  <c r="S91"/>
  <c r="T91"/>
  <c r="U91"/>
  <c r="V91"/>
  <c r="X91"/>
  <c r="C92"/>
  <c r="R92"/>
  <c r="S92"/>
  <c r="T92"/>
  <c r="U92"/>
  <c r="V92"/>
  <c r="X92"/>
  <c r="C93"/>
  <c r="R93"/>
  <c r="S93"/>
  <c r="T93"/>
  <c r="U93"/>
  <c r="V93"/>
  <c r="X93"/>
  <c r="C94"/>
  <c r="R94"/>
  <c r="S94"/>
  <c r="T94"/>
  <c r="U94"/>
  <c r="V94"/>
  <c r="X94"/>
  <c r="C95"/>
  <c r="R95"/>
  <c r="S95"/>
  <c r="T95"/>
  <c r="U95"/>
  <c r="V95"/>
  <c r="X95"/>
  <c r="C96"/>
  <c r="R96"/>
  <c r="S96"/>
  <c r="T96"/>
  <c r="U96"/>
  <c r="V96"/>
  <c r="X96"/>
  <c r="C97"/>
  <c r="R97"/>
  <c r="S97"/>
  <c r="T97"/>
  <c r="U97"/>
  <c r="V97"/>
  <c r="X97"/>
  <c r="C98"/>
  <c r="R98"/>
  <c r="S98"/>
  <c r="T98"/>
  <c r="U98"/>
  <c r="V98"/>
  <c r="X98"/>
  <c r="C99"/>
  <c r="R99"/>
  <c r="S99"/>
  <c r="T99"/>
  <c r="U99"/>
  <c r="V99"/>
  <c r="X99"/>
  <c r="C100"/>
  <c r="R100"/>
  <c r="S100"/>
  <c r="T100"/>
  <c r="U100"/>
  <c r="V100"/>
  <c r="X100"/>
  <c r="C101"/>
  <c r="R101"/>
  <c r="S101"/>
  <c r="T101"/>
  <c r="U101"/>
  <c r="V101"/>
  <c r="X101"/>
  <c r="C102"/>
  <c r="R102"/>
  <c r="S102"/>
  <c r="T102"/>
  <c r="U102"/>
  <c r="V102"/>
  <c r="X102"/>
  <c r="C103"/>
  <c r="R103"/>
  <c r="S103"/>
  <c r="T103"/>
  <c r="U103"/>
  <c r="V103"/>
  <c r="X103"/>
  <c r="C104"/>
  <c r="R104"/>
  <c r="S104"/>
  <c r="T104"/>
  <c r="U104"/>
  <c r="V104"/>
  <c r="X104"/>
  <c r="C105"/>
  <c r="R105"/>
  <c r="S105"/>
  <c r="T105"/>
  <c r="U105"/>
  <c r="V105"/>
  <c r="X105"/>
  <c r="C106"/>
  <c r="R106"/>
  <c r="S106"/>
  <c r="T106"/>
  <c r="U106"/>
  <c r="V106"/>
  <c r="X106"/>
  <c r="AO106"/>
  <c r="C107"/>
  <c r="R107"/>
  <c r="S107"/>
  <c r="T107"/>
  <c r="U107"/>
  <c r="V107"/>
  <c r="X107"/>
  <c r="C108"/>
  <c r="R108"/>
  <c r="S108"/>
  <c r="T108"/>
  <c r="U108"/>
  <c r="V108"/>
  <c r="X108"/>
  <c r="C109"/>
  <c r="R109"/>
  <c r="S109"/>
  <c r="T109"/>
  <c r="U109"/>
  <c r="V109"/>
  <c r="X109"/>
  <c r="C110"/>
  <c r="R110"/>
  <c r="S110"/>
  <c r="T110"/>
  <c r="U110"/>
  <c r="V110"/>
  <c r="X110"/>
  <c r="C111"/>
  <c r="R111"/>
  <c r="S111"/>
  <c r="T111"/>
  <c r="U111"/>
  <c r="V111"/>
  <c r="X111"/>
  <c r="C112"/>
  <c r="R112"/>
  <c r="S112"/>
  <c r="T112"/>
  <c r="U112"/>
  <c r="V112"/>
  <c r="X112"/>
  <c r="C113"/>
  <c r="R113"/>
  <c r="S113"/>
  <c r="T113"/>
  <c r="U113"/>
  <c r="V113"/>
  <c r="X113"/>
  <c r="C114"/>
  <c r="R114"/>
  <c r="S114"/>
  <c r="T114"/>
  <c r="U114"/>
  <c r="V114"/>
  <c r="X114"/>
  <c r="C115"/>
  <c r="R115"/>
  <c r="S115"/>
  <c r="T115"/>
  <c r="U115"/>
  <c r="V115"/>
  <c r="X115"/>
  <c r="C116"/>
  <c r="R116"/>
  <c r="S116"/>
  <c r="T116"/>
  <c r="U116"/>
  <c r="V116"/>
  <c r="X116"/>
  <c r="C117"/>
  <c r="R117"/>
  <c r="S117"/>
  <c r="T117"/>
  <c r="U117"/>
  <c r="V117"/>
  <c r="X117"/>
  <c r="C118"/>
  <c r="R118"/>
  <c r="S118"/>
  <c r="T118"/>
  <c r="U118"/>
  <c r="V118"/>
  <c r="X118"/>
  <c r="C119"/>
  <c r="R119"/>
  <c r="S119"/>
  <c r="T119"/>
  <c r="U119"/>
  <c r="V119"/>
  <c r="X119"/>
  <c r="C120"/>
  <c r="R120"/>
  <c r="S120"/>
  <c r="T120"/>
  <c r="U120"/>
  <c r="V120"/>
  <c r="X120"/>
  <c r="C121"/>
  <c r="R121"/>
  <c r="S121"/>
  <c r="T121"/>
  <c r="U121"/>
  <c r="V121"/>
  <c r="X121"/>
</calcChain>
</file>

<file path=xl/sharedStrings.xml><?xml version="1.0" encoding="utf-8"?>
<sst xmlns="http://schemas.openxmlformats.org/spreadsheetml/2006/main" count="2579" uniqueCount="364">
  <si>
    <t>EI Контингента</t>
  </si>
  <si>
    <t>ID контингента</t>
  </si>
  <si>
    <t>ИИН</t>
  </si>
  <si>
    <t>Фамилия</t>
  </si>
  <si>
    <t>Имя</t>
  </si>
  <si>
    <t>Отчество</t>
  </si>
  <si>
    <t>Дата рождения</t>
  </si>
  <si>
    <t>Причина отсутствия ИИН [7194]</t>
  </si>
  <si>
    <t>Пол [206]</t>
  </si>
  <si>
    <t>Гражданство [6416]</t>
  </si>
  <si>
    <t>Национальность [210]</t>
  </si>
  <si>
    <t>Беженец [6636]</t>
  </si>
  <si>
    <t>Номер документа, удостоверяющего личность [6908]</t>
  </si>
  <si>
    <t>Дата выдачи документа, удостоверяющего личность [6910]</t>
  </si>
  <si>
    <t>Вложение (прикрепите скан копию документа, удостоверяющего личность: 1-я скан копия, страница с паспорта, где ФИО) [7276]</t>
  </si>
  <si>
    <t>Вложение (прикрепите скан копию документа, удостоверяющего личность: 2-я скан копия, страница с печатью пограничной службы) [7277]</t>
  </si>
  <si>
    <t>Кандас [6194]</t>
  </si>
  <si>
    <t>Адрес постоянной регистрации на русском [6997]</t>
  </si>
  <si>
    <t>Адрес постоянной регистрации на казахском [6998]</t>
  </si>
  <si>
    <t>Адрес временной регистрации на русском [6999]</t>
  </si>
  <si>
    <t>Адрес временной регистрации на казахском [7000]</t>
  </si>
  <si>
    <t>Дата прибытия/зачисления [267]</t>
  </si>
  <si>
    <t>Параллель [207]</t>
  </si>
  <si>
    <t>Название группы [5789]</t>
  </si>
  <si>
    <t>Группа [5647]</t>
  </si>
  <si>
    <t>Воспитываются и обучаются по государственному образовательному заказу [7251]</t>
  </si>
  <si>
    <t>Язык обучения [209]</t>
  </si>
  <si>
    <t>Охват горячим питанием [6641]</t>
  </si>
  <si>
    <t>Изучаемый иностранный язык 1 [7019]</t>
  </si>
  <si>
    <t>Изучаемый иностранный язык 2 [7020]</t>
  </si>
  <si>
    <t>Посещает кружки и секции в данной организации [7271] / Наименование кружков/секций [72711]</t>
  </si>
  <si>
    <t>Посещает кружки и секции в данной организации [7271] / Способ оплаты [72712]</t>
  </si>
  <si>
    <t>Ребенок - сирота [251]</t>
  </si>
  <si>
    <t>Ребенок, оставшийся без попечения родителей [258]</t>
  </si>
  <si>
    <t>Сведения о здоровье [health_info_01] / Дата постановки на учет больного [patient_dt_beg]</t>
  </si>
  <si>
    <t>Сведения о здоровье [health_info_01] / Дата снятия с учета больного [patient_dt_end]</t>
  </si>
  <si>
    <t>Сведения о здоровье [health_info_01] / Вид заболевания [disease]</t>
  </si>
  <si>
    <t>Сведения о здоровье [health_info_01] / Медицинская организация ведущая диспансерное наблюдение [medical_organization]</t>
  </si>
  <si>
    <t>Сведения о здоровье [health_info_01] / Регион регистрации больного [patient_region]</t>
  </si>
  <si>
    <t>Дети с инвалидностью и/или лица с инвалидностью [253]</t>
  </si>
  <si>
    <t>Дата установления инвалидности [7184]</t>
  </si>
  <si>
    <t>Виды нарушений [5783]</t>
  </si>
  <si>
    <t>№ заключения ПМПК (до 18 лет)/ВКК (старше 18 лет) [6980]</t>
  </si>
  <si>
    <t>Дата заключения [6981]</t>
  </si>
  <si>
    <t>Нахождение ребенка на мед. учете [5864]</t>
  </si>
  <si>
    <t>Посещает логопедический пункт [6314]</t>
  </si>
  <si>
    <t>Получатель адресной социальной помощи [7064]</t>
  </si>
  <si>
    <t>Уровень прожиточного минимума [7285]</t>
  </si>
  <si>
    <t>Относится к категории граждан, которым оказывается финансовая и материальная помощь [6640]</t>
  </si>
  <si>
    <t>Из многодетной семьи [7822]</t>
  </si>
  <si>
    <t>Дата выбытия [269]</t>
  </si>
  <si>
    <t>Учебный год [ed_year]</t>
  </si>
  <si>
    <t>НҰРЛАНҰЛЫ</t>
  </si>
  <si>
    <t>НҰРАСЫЛ</t>
  </si>
  <si>
    <t>мужской</t>
  </si>
  <si>
    <t>КАЗАХСТАН</t>
  </si>
  <si>
    <t>Казахи</t>
  </si>
  <si>
    <t>Нет</t>
  </si>
  <si>
    <t>старший возраст – от 4-х лет (старшая группа)</t>
  </si>
  <si>
    <t>казахский</t>
  </si>
  <si>
    <t>не изучает</t>
  </si>
  <si>
    <t>нет (не посещает)</t>
  </si>
  <si>
    <t>[нет]</t>
  </si>
  <si>
    <t>не относится ни к одной из указанных категорий</t>
  </si>
  <si>
    <t>БАУРЖАНҰЛЫ</t>
  </si>
  <si>
    <t>ЖАНГИР</t>
  </si>
  <si>
    <t>средний возраст– от 3-х лет (средняя группа)</t>
  </si>
  <si>
    <t>ЕРЗАТ</t>
  </si>
  <si>
    <t>ҚАЙСАР</t>
  </si>
  <si>
    <t>ШАЛҚАРҰЛЫ</t>
  </si>
  <si>
    <t>Да</t>
  </si>
  <si>
    <t>СЕРИКОВА</t>
  </si>
  <si>
    <t>АДЕМА</t>
  </si>
  <si>
    <t>РАДИКОВНА</t>
  </si>
  <si>
    <t>женский</t>
  </si>
  <si>
    <t>АСКАРОВ</t>
  </si>
  <si>
    <t>ТАМЕРЛАН</t>
  </si>
  <si>
    <t>ЖАНДАРБЕКУЛЫ</t>
  </si>
  <si>
    <t>ОРАЛ</t>
  </si>
  <si>
    <t>БАЛНҰР</t>
  </si>
  <si>
    <t>НҰРЖАНҚЫЗЫ</t>
  </si>
  <si>
    <t>[охвачен(-а) горячим питанием]</t>
  </si>
  <si>
    <t>КАЛИЕВ</t>
  </si>
  <si>
    <t>АҚТӨРЕ</t>
  </si>
  <si>
    <t>СЕРЖАНҰЛЫ</t>
  </si>
  <si>
    <t>младший возраст – от 2-х лет (младшая группа)</t>
  </si>
  <si>
    <t>ТЕМІРТАЙ</t>
  </si>
  <si>
    <t>АЙЗЕРЕ</t>
  </si>
  <si>
    <t>БОЛАТҚЫЗЫ</t>
  </si>
  <si>
    <t>Ниже черты бедности</t>
  </si>
  <si>
    <t>из семей, имеющих право на получение государственной адресной социальной помощи;</t>
  </si>
  <si>
    <t>МАРАТОВА</t>
  </si>
  <si>
    <t>ДИАНА</t>
  </si>
  <si>
    <t>ЕРНАТҚЫЗЫ</t>
  </si>
  <si>
    <t>БЕКБОСЫНОВ</t>
  </si>
  <si>
    <t>АБЫЛАЙ</t>
  </si>
  <si>
    <t>АЯНУЛЫ</t>
  </si>
  <si>
    <t>ОРЫНБЕКОВ</t>
  </si>
  <si>
    <t>БЕКЗАТ</t>
  </si>
  <si>
    <t>ЕРУЗАТҰЛЫ</t>
  </si>
  <si>
    <t>ЕРБОЛҚЫЗЫ</t>
  </si>
  <si>
    <t>АҚЕРКЕ</t>
  </si>
  <si>
    <t>ШИПАНОВ</t>
  </si>
  <si>
    <t>АЗАМАТ</t>
  </si>
  <si>
    <t>меньше прожиточного минимума</t>
  </si>
  <si>
    <t>из семей, не получающих государственную адресную социальную помощь, в которых среднедушевой доход ниже величины прожиточного минимума</t>
  </si>
  <si>
    <t>БЕКБОСЫН</t>
  </si>
  <si>
    <t>КӘУСАР</t>
  </si>
  <si>
    <t>АЯНҚЫЗЫ</t>
  </si>
  <si>
    <t>ЖАНДОС</t>
  </si>
  <si>
    <t>САЙЛАУҒАЗЫ</t>
  </si>
  <si>
    <t>БЕКАСЫЛ</t>
  </si>
  <si>
    <t>МАҚСАТҰЛЫ</t>
  </si>
  <si>
    <t>БУРКУТБАЕВ</t>
  </si>
  <si>
    <t>АЛИЖАН</t>
  </si>
  <si>
    <t>АЙДЫНҰЛЫ</t>
  </si>
  <si>
    <t>ДАРХАНҚЫЗЫ</t>
  </si>
  <si>
    <t>БАЛҒЫН</t>
  </si>
  <si>
    <t>КОНОВАЛОВ</t>
  </si>
  <si>
    <t>НИКИТА</t>
  </si>
  <si>
    <t>МАКСИМОВИЧ</t>
  </si>
  <si>
    <t>Русские</t>
  </si>
  <si>
    <t>русский</t>
  </si>
  <si>
    <t>АЛДЕБЕКОВА</t>
  </si>
  <si>
    <t>АЛИНА</t>
  </si>
  <si>
    <t>ЕРАСЫЛҚЫЗЫ</t>
  </si>
  <si>
    <t>РУСЛАНҚЫЗЫ</t>
  </si>
  <si>
    <t>МЕДИНА</t>
  </si>
  <si>
    <t>ЕРЖАНОВ</t>
  </si>
  <si>
    <t>АЛИХАН</t>
  </si>
  <si>
    <t>ЕРНҰРҰЛЫ</t>
  </si>
  <si>
    <t>ЖАҢАРТҚАНҰЛЫ</t>
  </si>
  <si>
    <t>АХМЕТ</t>
  </si>
  <si>
    <t>ДОСМҰХАМЕТ</t>
  </si>
  <si>
    <t>ЕРАЛЫ</t>
  </si>
  <si>
    <t>МИРАТҰЛЫ</t>
  </si>
  <si>
    <t>АЙДАРОВ</t>
  </si>
  <si>
    <t>АМИР</t>
  </si>
  <si>
    <t>РУСТАМОВИЧ</t>
  </si>
  <si>
    <t>АЙДАРОВА</t>
  </si>
  <si>
    <t>АМИНА</t>
  </si>
  <si>
    <t>РУСТАМОВНА</t>
  </si>
  <si>
    <t>ҚАЙРАТОВ</t>
  </si>
  <si>
    <t>АҚЖАН</t>
  </si>
  <si>
    <t>МУРАТОВ</t>
  </si>
  <si>
    <t>ЕРДАУЛЕТ</t>
  </si>
  <si>
    <t>АЗАТОВИЧ</t>
  </si>
  <si>
    <t>ЕРЕНҚЫЗЫ</t>
  </si>
  <si>
    <t>АЙДАНА</t>
  </si>
  <si>
    <t>АЙДЫНОВ</t>
  </si>
  <si>
    <t>АЙБЫНҰЛЫ</t>
  </si>
  <si>
    <t>МАНАРБЕК</t>
  </si>
  <si>
    <t>АЙЕРКЕ</t>
  </si>
  <si>
    <t>СЕРЖАНҚЫЗЫ</t>
  </si>
  <si>
    <t>ЕЛЕУСИЗОВА</t>
  </si>
  <si>
    <t>АЙСУЛУ</t>
  </si>
  <si>
    <t>МАҚСАТҚЫЗЫ</t>
  </si>
  <si>
    <t>АХАН</t>
  </si>
  <si>
    <t>БАТЫРХАН</t>
  </si>
  <si>
    <t>МАНАРБЕКҰЛЫ</t>
  </si>
  <si>
    <t>БЕКНҰР</t>
  </si>
  <si>
    <t>АЛТЫНБЕКОВ</t>
  </si>
  <si>
    <t>ӘЛИЖАН</t>
  </si>
  <si>
    <t>РУСЛАНҰЛЫ</t>
  </si>
  <si>
    <t>ШАКЕНОВА</t>
  </si>
  <si>
    <t>АЗАЛИЯ</t>
  </si>
  <si>
    <t>АЗАМАТОВНА</t>
  </si>
  <si>
    <t>РИНАТОВА</t>
  </si>
  <si>
    <t>ЛЯЙСАН</t>
  </si>
  <si>
    <t>РИНАТОВНА</t>
  </si>
  <si>
    <t>АСКАРОВА</t>
  </si>
  <si>
    <t>САБИНА</t>
  </si>
  <si>
    <t>АНУАРОВНА</t>
  </si>
  <si>
    <t>ЖҰМАТ</t>
  </si>
  <si>
    <t>АЙСҰЛТАН</t>
  </si>
  <si>
    <t>АРХАТҰЛЫ</t>
  </si>
  <si>
    <t>АРХАТҚЫЗЫ</t>
  </si>
  <si>
    <t>УШАКОВ</t>
  </si>
  <si>
    <t>ДЕНИС</t>
  </si>
  <si>
    <t>АЛЕКСАНДРОВИЧ</t>
  </si>
  <si>
    <t>ҚАНАТОВ</t>
  </si>
  <si>
    <t>КЕМ</t>
  </si>
  <si>
    <t>ДАНИЭЛЬ</t>
  </si>
  <si>
    <t>ДМИТРИЕВИЧ</t>
  </si>
  <si>
    <t>АРТЫКБАЕВА</t>
  </si>
  <si>
    <t>ЯСМИН</t>
  </si>
  <si>
    <t>НУРЛАНОВНА</t>
  </si>
  <si>
    <t>УВАХИЕВА</t>
  </si>
  <si>
    <t>ТИМУРОВНА</t>
  </si>
  <si>
    <t>Чеченцы</t>
  </si>
  <si>
    <t>ЖУМАКАНОВ</t>
  </si>
  <si>
    <t>БЕКАРЫС</t>
  </si>
  <si>
    <t>АНУАРҰЛЫ</t>
  </si>
  <si>
    <t>БАЗАРОВА</t>
  </si>
  <si>
    <t>БАЛАУСА</t>
  </si>
  <si>
    <t>ЖАНЫБЕК</t>
  </si>
  <si>
    <t>ДӘУРЕНҰЛЫ</t>
  </si>
  <si>
    <t>БОЛАТБЕК</t>
  </si>
  <si>
    <t>МЕЙІР</t>
  </si>
  <si>
    <t>ҚАЙРАТҰЛЫ</t>
  </si>
  <si>
    <t>АҚНИЕТ</t>
  </si>
  <si>
    <t>РАТБЕК</t>
  </si>
  <si>
    <t>КӨРКЕМ</t>
  </si>
  <si>
    <t>ОЛЖАСҚЫЗЫ</t>
  </si>
  <si>
    <t>ЕРЛАНҚЫЗЫ</t>
  </si>
  <si>
    <t>МӘРИЯМ</t>
  </si>
  <si>
    <t>АЛКАНОВА</t>
  </si>
  <si>
    <t>ӘЛИЯ</t>
  </si>
  <si>
    <t>ТОЛЕПБЕРДЫҚЫЗЫ</t>
  </si>
  <si>
    <t>МАҚСҰТ</t>
  </si>
  <si>
    <t>СЕЗІМ</t>
  </si>
  <si>
    <t>ЫҚЫЛАСҚЫЗЫ</t>
  </si>
  <si>
    <t>МЕЙРАМХАНҚЫЗЫ</t>
  </si>
  <si>
    <t>НҰРИЯ</t>
  </si>
  <si>
    <t>КОШЕРОВ</t>
  </si>
  <si>
    <t>НҰРАЛЫ</t>
  </si>
  <si>
    <t>ЖАНАТҰЛЫ</t>
  </si>
  <si>
    <t>ОРДАКАНОВ</t>
  </si>
  <si>
    <t>ИЛЬХАМ</t>
  </si>
  <si>
    <t>ДИАСОВИЧ</t>
  </si>
  <si>
    <t>ТҰРСЫН</t>
  </si>
  <si>
    <t>НҰРТАС</t>
  </si>
  <si>
    <t>ЖУНУСОВ</t>
  </si>
  <si>
    <t>МАРАТОВИЧ</t>
  </si>
  <si>
    <t>АЙДАРҰЛЫ</t>
  </si>
  <si>
    <t>ШАҺ-КЕРІМ</t>
  </si>
  <si>
    <t>ЖОМАРТОВ</t>
  </si>
  <si>
    <t>РАЙЫМБЕК</t>
  </si>
  <si>
    <t>ЖАНБОЛАТҰЛЫ</t>
  </si>
  <si>
    <t>АРМАН</t>
  </si>
  <si>
    <t>БЕЙБАРЫС</t>
  </si>
  <si>
    <t>СЕРІКҚАЗЫ</t>
  </si>
  <si>
    <t>ХАН</t>
  </si>
  <si>
    <t>ДАУРЕНҰЛЫ</t>
  </si>
  <si>
    <t>ДАНАНОВ</t>
  </si>
  <si>
    <t>ДАРЫН</t>
  </si>
  <si>
    <t>ЖАСЛАНҰЛЫ</t>
  </si>
  <si>
    <t>САЛЫКОВА</t>
  </si>
  <si>
    <t>АДЕЛЬ</t>
  </si>
  <si>
    <t>АЙБЕКОВНА</t>
  </si>
  <si>
    <t>ОРЫНБЕКОВА</t>
  </si>
  <si>
    <t>АДИЛА</t>
  </si>
  <si>
    <t>ЕРУЗАТҚЫЗЫ</t>
  </si>
  <si>
    <t>ЕРБОЛАТОВА</t>
  </si>
  <si>
    <t>АЙКӨРКЕМ</t>
  </si>
  <si>
    <t>ДУМАНҚЫЗЫ</t>
  </si>
  <si>
    <t>БИРЮКОВА</t>
  </si>
  <si>
    <t>ДАРЬЯ</t>
  </si>
  <si>
    <t>ДМИТРИЕВНА</t>
  </si>
  <si>
    <t>БАЛТАБАЕВ</t>
  </si>
  <si>
    <t>СҰЛТАН</t>
  </si>
  <si>
    <t>ТУРГУНОВИЧ</t>
  </si>
  <si>
    <t>КӨПЖАСАР</t>
  </si>
  <si>
    <t>СҰҢҚАР</t>
  </si>
  <si>
    <t>САЯТҰЛЫ</t>
  </si>
  <si>
    <t>ЕРЛАНОВ</t>
  </si>
  <si>
    <t>НУРИСЛАМ</t>
  </si>
  <si>
    <t>ЕРЖАНОВИЧ</t>
  </si>
  <si>
    <t>АЗИМ</t>
  </si>
  <si>
    <t>МАРАТ</t>
  </si>
  <si>
    <t>РИЗАЕВ</t>
  </si>
  <si>
    <t>БЕКЖАН</t>
  </si>
  <si>
    <t>БАҚЫТБЕКҰЛЫ</t>
  </si>
  <si>
    <t>КУСПЕКОВА</t>
  </si>
  <si>
    <t>АЯЛА</t>
  </si>
  <si>
    <t>АЗЫЛХАНҚЫЗЫ</t>
  </si>
  <si>
    <t>ГАНИЕВА</t>
  </si>
  <si>
    <t>АЙСЕЗІМ</t>
  </si>
  <si>
    <t>ТЕМІРЛАНҚЫЗЫ</t>
  </si>
  <si>
    <t>АСЫЛБЕК</t>
  </si>
  <si>
    <t>ҚАЙРАТҚЫЗЫ</t>
  </si>
  <si>
    <t>АЛЫБЕК</t>
  </si>
  <si>
    <t>ЖАЛҒАС</t>
  </si>
  <si>
    <t>ҚУАТҰЛЫ</t>
  </si>
  <si>
    <t>ГАППАСОВ</t>
  </si>
  <si>
    <t>БАУЫРЖАН</t>
  </si>
  <si>
    <t>БАҚЫТЖАНҰЛЫ</t>
  </si>
  <si>
    <t>БЕЛОВА</t>
  </si>
  <si>
    <t>ЮРЬЕВНА</t>
  </si>
  <si>
    <t>ЖАСҰЛАНҰЛЫ</t>
  </si>
  <si>
    <t>ЕРІКҚЫЗЫ</t>
  </si>
  <si>
    <t>АЙША</t>
  </si>
  <si>
    <t>РАХМАТУЛИНА</t>
  </si>
  <si>
    <t>СОФИЯ</t>
  </si>
  <si>
    <t>РУСЛАНОВНА</t>
  </si>
  <si>
    <t>Татары</t>
  </si>
  <si>
    <t>СОВЕТ</t>
  </si>
  <si>
    <t>ЕРСҰЛТАН</t>
  </si>
  <si>
    <t>БЕРІКҰЛЫ</t>
  </si>
  <si>
    <t>МУКАШЕВА</t>
  </si>
  <si>
    <t>ГУЛЬЗАР</t>
  </si>
  <si>
    <t>ЕВГЕНЬЕВНА</t>
  </si>
  <si>
    <t>ДӘЛЕЛХАН</t>
  </si>
  <si>
    <t>ҚЫМБАТ</t>
  </si>
  <si>
    <t>СЕРІКҚЫЗЫ</t>
  </si>
  <si>
    <t>РУСТЕМОВА</t>
  </si>
  <si>
    <t>АЙСАНА</t>
  </si>
  <si>
    <t>СЕРИКОВНА</t>
  </si>
  <si>
    <t>БАЗАРОВ</t>
  </si>
  <si>
    <t>НҰРДӘУЛЕТ</t>
  </si>
  <si>
    <t>НҰРЖАНҰЛЫ</t>
  </si>
  <si>
    <t>НҰРТІЛЕУ</t>
  </si>
  <si>
    <t>ОРЫМБЕКОВА</t>
  </si>
  <si>
    <t>СЕРИКБОЛОВНА</t>
  </si>
  <si>
    <t>ТАСҚЫНБЕКҰЛЫ</t>
  </si>
  <si>
    <t>КАЙРАТОВ</t>
  </si>
  <si>
    <t>АҢСАР</t>
  </si>
  <si>
    <t>ЧИНГИСОВИЧ</t>
  </si>
  <si>
    <t>БОЛАТОВА</t>
  </si>
  <si>
    <t>РАМИНА</t>
  </si>
  <si>
    <t>ЕРМЕКҚЫЗЫ</t>
  </si>
  <si>
    <t>НҰРАЙ</t>
  </si>
  <si>
    <t>АЙБЕКҚЫЗЫ</t>
  </si>
  <si>
    <t>ЯСИНА</t>
  </si>
  <si>
    <t>ЖАНҰЗАҚ</t>
  </si>
  <si>
    <t>ЖАНСҰЛУ</t>
  </si>
  <si>
    <t>МАНАРҚЫЗЫ</t>
  </si>
  <si>
    <t>МАРАКУЦА</t>
  </si>
  <si>
    <t>РОСТИСЛАВ</t>
  </si>
  <si>
    <t>СЕРГЕЕВИЧ</t>
  </si>
  <si>
    <t>ҚУАТҚЫЗЫ</t>
  </si>
  <si>
    <t>ГҮЛНҰР</t>
  </si>
  <si>
    <t>ГАЗИЗОВ</t>
  </si>
  <si>
    <t>АРСЕН</t>
  </si>
  <si>
    <t>МЕРХАТҰЛЫ</t>
  </si>
  <si>
    <t>БЕЙСЕНБЕК</t>
  </si>
  <si>
    <t>ФАРХАТҚЫЗЫ</t>
  </si>
  <si>
    <t>АРЛАН</t>
  </si>
  <si>
    <t>ФАРХАТҰЛЫ</t>
  </si>
  <si>
    <t>МИРАС</t>
  </si>
  <si>
    <t>АЙТУАРҰЛЫ</t>
  </si>
  <si>
    <t>МҰҚТАРХАН</t>
  </si>
  <si>
    <t>ЖАНЕРКЕ</t>
  </si>
  <si>
    <t>ЖАҢАРТҚАНҚЫЗЫ</t>
  </si>
  <si>
    <t>ҚАНАТОВА</t>
  </si>
  <si>
    <t>АЙЛИН</t>
  </si>
  <si>
    <t>АЙТУАРҚЫЗЫ</t>
  </si>
  <si>
    <t>ЖЕҢІСХАНҰЛЫ</t>
  </si>
  <si>
    <t>ЕРБОЛАТ</t>
  </si>
  <si>
    <t>СЕРІКОВА</t>
  </si>
  <si>
    <t>КӨЗАЙЫМ</t>
  </si>
  <si>
    <t>АЛМАЗҚЫЗЫ</t>
  </si>
  <si>
    <t>НҰРИМАН</t>
  </si>
  <si>
    <t>ЖАСУЛАНҚЫЗЫ</t>
  </si>
  <si>
    <t>АЙЛА</t>
  </si>
  <si>
    <t>ЖҰМАГЕЛДІ</t>
  </si>
  <si>
    <t>ТОЛЫМБЕКҰЛЫ</t>
  </si>
  <si>
    <t>АЛИАХМЕТ</t>
  </si>
  <si>
    <t>ДИДАРҰЛЫ</t>
  </si>
  <si>
    <t>ЖАНСЕРІК</t>
  </si>
  <si>
    <t>СӘДЕН</t>
  </si>
  <si>
    <t>НҰРЛЫБЕКҚЫЗЫ</t>
  </si>
  <si>
    <t>ЖАЙЫКОВА</t>
  </si>
  <si>
    <t>АСЫЛЫМ</t>
  </si>
  <si>
    <t>КАЙРАТОВНА</t>
  </si>
  <si>
    <t>РАМАЗАН</t>
  </si>
  <si>
    <t>АЛИНҰР</t>
  </si>
  <si>
    <t>АРСЛАНҰЛЫ</t>
  </si>
  <si>
    <t>ИЛЬДАНА</t>
  </si>
  <si>
    <t>АЙДЫНОВНА</t>
  </si>
  <si>
    <t>БАКЫТЖАНОВА</t>
  </si>
  <si>
    <t>ДАНЕЛИЯ</t>
  </si>
  <si>
    <t>ДАУРЕНОВНА</t>
  </si>
  <si>
    <t>АРНҰР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</si>
</sst>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Z121"/>
  <sheetViews>
    <sheetView tabSelected="1" workbookViewId="0"/>
  </sheetViews>
  <sheetFormatPr defaultRowHeight="15"/>
  <sheetData>
    <row r="1" spans="1:5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</row>
    <row r="2" spans="1:52">
      <c r="A2">
        <v>20146863</v>
      </c>
      <c r="B2">
        <v>11702721</v>
      </c>
      <c r="C2" t="str">
        <f>"190402505452"</f>
        <v>190402505452</v>
      </c>
      <c r="D2" t="s">
        <v>52</v>
      </c>
      <c r="E2" t="s">
        <v>53</v>
      </c>
      <c r="G2" s="1">
        <v>43557</v>
      </c>
      <c r="I2" t="s">
        <v>54</v>
      </c>
      <c r="J2" t="s">
        <v>55</v>
      </c>
      <c r="K2" t="s">
        <v>56</v>
      </c>
      <c r="Q2" t="s">
        <v>57</v>
      </c>
      <c r="R2" t="str">
        <f>"КАЗАХСТАН, В-КАЗАХСТАНСКАЯ, КОКПЕКТИНСКИЙ Р-Н, Кокпектинский, Кокпекты, 52"</f>
        <v>КАЗАХСТАН, В-КАЗАХСТАНСКАЯ, КОКПЕКТИНСКИЙ Р-Н, Кокпектинский, Кокпекты, 52</v>
      </c>
      <c r="S2" t="str">
        <f>"ҚАЗАҚСТАН, ШЫҒ-ҚАЗАҚСТАН, КӨКПЕКТІ АУДАНЫ, Кокпектинский, Кокпекты, 52"</f>
        <v>ҚАЗАҚСТАН, ШЫҒ-ҚАЗАҚСТАН, КӨКПЕКТІ АУДАНЫ, Кокпектинский, Кокпекты, 52</v>
      </c>
      <c r="T2" t="str">
        <f>"Кокпектинский, Кокпекты, 52"</f>
        <v>Кокпектинский, Кокпекты, 52</v>
      </c>
      <c r="U2" t="str">
        <f>"Кокпектинский, Кокпекты, 52"</f>
        <v>Кокпектинский, Кокпекты, 52</v>
      </c>
      <c r="V2" t="str">
        <f>"2021-08-16T00:00:00"</f>
        <v>2021-08-16T00:00:00</v>
      </c>
      <c r="X2" t="str">
        <f>"Балапан"</f>
        <v>Балапан</v>
      </c>
      <c r="Y2" t="s">
        <v>58</v>
      </c>
      <c r="AA2" t="s">
        <v>59</v>
      </c>
      <c r="AC2" t="s">
        <v>60</v>
      </c>
      <c r="AD2" t="s">
        <v>60</v>
      </c>
      <c r="AE2" t="s">
        <v>61</v>
      </c>
      <c r="AG2" t="s">
        <v>57</v>
      </c>
      <c r="AH2" t="s">
        <v>57</v>
      </c>
      <c r="AN2" t="s">
        <v>57</v>
      </c>
      <c r="AP2" t="s">
        <v>62</v>
      </c>
      <c r="AS2" t="s">
        <v>57</v>
      </c>
      <c r="AT2" t="s">
        <v>57</v>
      </c>
      <c r="AU2" t="s">
        <v>57</v>
      </c>
      <c r="AW2" t="s">
        <v>63</v>
      </c>
      <c r="AX2" t="s">
        <v>57</v>
      </c>
    </row>
    <row r="3" spans="1:52">
      <c r="A3">
        <v>22083156</v>
      </c>
      <c r="B3">
        <v>12428768</v>
      </c>
      <c r="C3" t="str">
        <f>"200311505076"</f>
        <v>200311505076</v>
      </c>
      <c r="D3" t="s">
        <v>64</v>
      </c>
      <c r="E3" t="s">
        <v>65</v>
      </c>
      <c r="G3" s="1">
        <v>43901</v>
      </c>
      <c r="I3" t="s">
        <v>54</v>
      </c>
      <c r="J3" t="s">
        <v>55</v>
      </c>
      <c r="K3" t="s">
        <v>56</v>
      </c>
      <c r="Q3" t="s">
        <v>57</v>
      </c>
      <c r="R3" t="str">
        <f t="shared" ref="R3:U6" si="0">"-"</f>
        <v>-</v>
      </c>
      <c r="S3" t="str">
        <f t="shared" si="0"/>
        <v>-</v>
      </c>
      <c r="T3" t="str">
        <f t="shared" si="0"/>
        <v>-</v>
      </c>
      <c r="U3" t="str">
        <f t="shared" si="0"/>
        <v>-</v>
      </c>
      <c r="V3" t="str">
        <f>"2022-03-29T00:00:00"</f>
        <v>2022-03-29T00:00:00</v>
      </c>
      <c r="X3" t="str">
        <f>"Балдәурен"</f>
        <v>Балдәурен</v>
      </c>
      <c r="Y3" t="s">
        <v>66</v>
      </c>
      <c r="AA3" t="s">
        <v>59</v>
      </c>
      <c r="AC3" t="s">
        <v>60</v>
      </c>
      <c r="AD3" t="s">
        <v>60</v>
      </c>
      <c r="AE3" t="s">
        <v>61</v>
      </c>
      <c r="AG3" t="s">
        <v>57</v>
      </c>
      <c r="AH3" t="s">
        <v>57</v>
      </c>
      <c r="AN3" t="s">
        <v>57</v>
      </c>
      <c r="AP3" t="s">
        <v>62</v>
      </c>
      <c r="AS3" t="s">
        <v>57</v>
      </c>
      <c r="AT3" t="s">
        <v>57</v>
      </c>
      <c r="AU3" t="s">
        <v>57</v>
      </c>
      <c r="AW3" t="s">
        <v>63</v>
      </c>
      <c r="AX3" t="s">
        <v>57</v>
      </c>
    </row>
    <row r="4" spans="1:52">
      <c r="A4">
        <v>22772474</v>
      </c>
      <c r="B4">
        <v>12667037</v>
      </c>
      <c r="C4" t="str">
        <f>"201015550174"</f>
        <v>201015550174</v>
      </c>
      <c r="D4" t="s">
        <v>67</v>
      </c>
      <c r="E4" t="s">
        <v>68</v>
      </c>
      <c r="F4" t="s">
        <v>69</v>
      </c>
      <c r="G4" s="1">
        <v>44119</v>
      </c>
      <c r="I4" t="s">
        <v>54</v>
      </c>
      <c r="J4" t="s">
        <v>55</v>
      </c>
      <c r="K4" t="s">
        <v>56</v>
      </c>
      <c r="Q4" t="s">
        <v>57</v>
      </c>
      <c r="R4" t="str">
        <f t="shared" si="0"/>
        <v>-</v>
      </c>
      <c r="S4" t="str">
        <f t="shared" si="0"/>
        <v>-</v>
      </c>
      <c r="T4" t="str">
        <f t="shared" si="0"/>
        <v>-</v>
      </c>
      <c r="U4" t="str">
        <f t="shared" si="0"/>
        <v>-</v>
      </c>
      <c r="V4" t="str">
        <f>"2022-08-15T00:00:00"</f>
        <v>2022-08-15T00:00:00</v>
      </c>
      <c r="X4" t="str">
        <f>"Балдәурен"</f>
        <v>Балдәурен</v>
      </c>
      <c r="Y4" t="s">
        <v>66</v>
      </c>
      <c r="AA4" t="s">
        <v>59</v>
      </c>
      <c r="AC4" t="s">
        <v>60</v>
      </c>
      <c r="AD4" t="s">
        <v>60</v>
      </c>
      <c r="AE4" t="s">
        <v>61</v>
      </c>
      <c r="AG4" t="s">
        <v>57</v>
      </c>
      <c r="AH4" t="s">
        <v>57</v>
      </c>
      <c r="AN4" t="s">
        <v>57</v>
      </c>
      <c r="AP4" t="s">
        <v>62</v>
      </c>
      <c r="AS4" t="s">
        <v>57</v>
      </c>
      <c r="AT4" t="s">
        <v>57</v>
      </c>
      <c r="AU4" t="s">
        <v>57</v>
      </c>
      <c r="AW4" t="s">
        <v>63</v>
      </c>
      <c r="AX4" t="s">
        <v>70</v>
      </c>
    </row>
    <row r="5" spans="1:52">
      <c r="A5">
        <v>23229535</v>
      </c>
      <c r="B5">
        <v>12732404</v>
      </c>
      <c r="C5" t="str">
        <f>"201126650779"</f>
        <v>201126650779</v>
      </c>
      <c r="D5" t="s">
        <v>71</v>
      </c>
      <c r="E5" t="s">
        <v>72</v>
      </c>
      <c r="F5" t="s">
        <v>73</v>
      </c>
      <c r="G5" s="1">
        <v>44161</v>
      </c>
      <c r="I5" t="s">
        <v>74</v>
      </c>
      <c r="J5" t="s">
        <v>55</v>
      </c>
      <c r="K5" t="s">
        <v>56</v>
      </c>
      <c r="Q5" t="s">
        <v>57</v>
      </c>
      <c r="R5" t="str">
        <f t="shared" si="0"/>
        <v>-</v>
      </c>
      <c r="S5" t="str">
        <f t="shared" si="0"/>
        <v>-</v>
      </c>
      <c r="T5" t="str">
        <f t="shared" si="0"/>
        <v>-</v>
      </c>
      <c r="U5" t="str">
        <f t="shared" si="0"/>
        <v>-</v>
      </c>
      <c r="V5" t="str">
        <f>"2022-09-05T00:00:00"</f>
        <v>2022-09-05T00:00:00</v>
      </c>
      <c r="X5" t="str">
        <f>"Балдәурен"</f>
        <v>Балдәурен</v>
      </c>
      <c r="Y5" t="s">
        <v>66</v>
      </c>
      <c r="AA5" t="s">
        <v>59</v>
      </c>
      <c r="AC5" t="s">
        <v>60</v>
      </c>
      <c r="AD5" t="s">
        <v>60</v>
      </c>
      <c r="AE5" t="s">
        <v>61</v>
      </c>
      <c r="AG5" t="s">
        <v>57</v>
      </c>
      <c r="AH5" t="s">
        <v>57</v>
      </c>
      <c r="AN5" t="s">
        <v>57</v>
      </c>
      <c r="AP5" t="s">
        <v>62</v>
      </c>
      <c r="AS5" t="s">
        <v>57</v>
      </c>
      <c r="AT5" t="s">
        <v>57</v>
      </c>
      <c r="AU5" t="s">
        <v>57</v>
      </c>
      <c r="AW5" t="s">
        <v>63</v>
      </c>
      <c r="AX5" t="s">
        <v>57</v>
      </c>
    </row>
    <row r="6" spans="1:52">
      <c r="A6">
        <v>26645689</v>
      </c>
      <c r="B6">
        <v>11893581</v>
      </c>
      <c r="C6" t="str">
        <f>"200314504817"</f>
        <v>200314504817</v>
      </c>
      <c r="D6" t="s">
        <v>75</v>
      </c>
      <c r="E6" t="s">
        <v>76</v>
      </c>
      <c r="F6" t="s">
        <v>77</v>
      </c>
      <c r="G6" s="1">
        <v>43904</v>
      </c>
      <c r="I6" t="s">
        <v>54</v>
      </c>
      <c r="J6" t="s">
        <v>55</v>
      </c>
      <c r="K6" t="s">
        <v>56</v>
      </c>
      <c r="Q6" t="s">
        <v>57</v>
      </c>
      <c r="R6" t="str">
        <f t="shared" si="0"/>
        <v>-</v>
      </c>
      <c r="S6" t="str">
        <f t="shared" si="0"/>
        <v>-</v>
      </c>
      <c r="T6" t="str">
        <f t="shared" si="0"/>
        <v>-</v>
      </c>
      <c r="U6" t="str">
        <f t="shared" si="0"/>
        <v>-</v>
      </c>
      <c r="V6" t="str">
        <f>"2023-10-03T00:00:00"</f>
        <v>2023-10-03T00:00:00</v>
      </c>
      <c r="X6" t="str">
        <f>"Балдәурен"</f>
        <v>Балдәурен</v>
      </c>
      <c r="Y6" t="s">
        <v>66</v>
      </c>
      <c r="AA6" t="s">
        <v>59</v>
      </c>
      <c r="AC6" t="s">
        <v>60</v>
      </c>
      <c r="AD6" t="s">
        <v>60</v>
      </c>
      <c r="AE6" t="s">
        <v>61</v>
      </c>
      <c r="AG6" t="s">
        <v>57</v>
      </c>
      <c r="AH6" t="s">
        <v>57</v>
      </c>
      <c r="AN6" t="s">
        <v>57</v>
      </c>
      <c r="AP6" t="s">
        <v>62</v>
      </c>
      <c r="AS6" t="s">
        <v>57</v>
      </c>
      <c r="AT6" t="s">
        <v>57</v>
      </c>
      <c r="AU6" t="s">
        <v>57</v>
      </c>
      <c r="AW6" t="s">
        <v>63</v>
      </c>
      <c r="AX6" t="s">
        <v>57</v>
      </c>
    </row>
    <row r="7" spans="1:52">
      <c r="A7">
        <v>27003522</v>
      </c>
      <c r="B7">
        <v>13593637</v>
      </c>
      <c r="C7" t="str">
        <f>"191114604814"</f>
        <v>191114604814</v>
      </c>
      <c r="D7" t="s">
        <v>78</v>
      </c>
      <c r="E7" t="s">
        <v>79</v>
      </c>
      <c r="F7" t="s">
        <v>80</v>
      </c>
      <c r="G7" s="1">
        <v>43783</v>
      </c>
      <c r="I7" t="s">
        <v>74</v>
      </c>
      <c r="J7" t="s">
        <v>55</v>
      </c>
      <c r="K7" t="s">
        <v>56</v>
      </c>
      <c r="Q7" t="s">
        <v>57</v>
      </c>
      <c r="R7" t="str">
        <f>"КАЗАХСТАН, АБАЙ, Кокпектинский, Кокпекты, 2, 1"</f>
        <v>КАЗАХСТАН, АБАЙ, Кокпектинский, Кокпекты, 2, 1</v>
      </c>
      <c r="S7" t="str">
        <f>"ҚАЗАҚСТАН, АБАЙ, Кокпектинский, Кокпекты, 2, 1"</f>
        <v>ҚАЗАҚСТАН, АБАЙ, Кокпектинский, Кокпекты, 2, 1</v>
      </c>
      <c r="T7" t="str">
        <f>"Кокпектинский, Кокпекты, 2, 1"</f>
        <v>Кокпектинский, Кокпекты, 2, 1</v>
      </c>
      <c r="U7" t="str">
        <f>"Кокпектинский, Кокпекты, 2, 1"</f>
        <v>Кокпектинский, Кокпекты, 2, 1</v>
      </c>
      <c r="V7" t="str">
        <f>"2024-01-04T00:00:00"</f>
        <v>2024-01-04T00:00:00</v>
      </c>
      <c r="X7" t="str">
        <f>"Қошақан"</f>
        <v>Қошақан</v>
      </c>
      <c r="Y7" t="s">
        <v>66</v>
      </c>
      <c r="AA7" t="s">
        <v>59</v>
      </c>
      <c r="AB7" t="s">
        <v>81</v>
      </c>
      <c r="AC7" t="s">
        <v>60</v>
      </c>
      <c r="AD7" t="s">
        <v>60</v>
      </c>
      <c r="AE7" t="s">
        <v>61</v>
      </c>
      <c r="AG7" t="s">
        <v>57</v>
      </c>
      <c r="AH7" t="s">
        <v>57</v>
      </c>
      <c r="AN7" t="s">
        <v>57</v>
      </c>
      <c r="AP7" t="s">
        <v>62</v>
      </c>
      <c r="AS7" t="s">
        <v>57</v>
      </c>
      <c r="AT7" t="s">
        <v>57</v>
      </c>
      <c r="AU7" t="s">
        <v>57</v>
      </c>
      <c r="AW7" t="s">
        <v>63</v>
      </c>
      <c r="AX7" t="s">
        <v>70</v>
      </c>
    </row>
    <row r="8" spans="1:52">
      <c r="A8">
        <v>26516597</v>
      </c>
      <c r="B8">
        <v>13308283</v>
      </c>
      <c r="C8" t="str">
        <f>"220131555345"</f>
        <v>220131555345</v>
      </c>
      <c r="D8" t="s">
        <v>82</v>
      </c>
      <c r="E8" t="s">
        <v>83</v>
      </c>
      <c r="F8" t="s">
        <v>84</v>
      </c>
      <c r="G8" s="1">
        <v>44592</v>
      </c>
      <c r="I8" t="s">
        <v>54</v>
      </c>
      <c r="J8" t="s">
        <v>55</v>
      </c>
      <c r="K8" t="s">
        <v>56</v>
      </c>
      <c r="Q8" t="s">
        <v>57</v>
      </c>
      <c r="R8" t="str">
        <f>"-"</f>
        <v>-</v>
      </c>
      <c r="S8" t="str">
        <f>"-"</f>
        <v>-</v>
      </c>
      <c r="T8" t="str">
        <f>"-"</f>
        <v>-</v>
      </c>
      <c r="U8" t="str">
        <f>"-"</f>
        <v>-</v>
      </c>
      <c r="V8" t="str">
        <f>"2023-09-18T00:00:00"</f>
        <v>2023-09-18T00:00:00</v>
      </c>
      <c r="X8" t="str">
        <f>"Айгөлек"</f>
        <v>Айгөлек</v>
      </c>
      <c r="Y8" t="s">
        <v>85</v>
      </c>
      <c r="AA8" t="s">
        <v>59</v>
      </c>
      <c r="AB8" t="s">
        <v>81</v>
      </c>
      <c r="AC8" t="s">
        <v>60</v>
      </c>
      <c r="AD8" t="s">
        <v>60</v>
      </c>
      <c r="AE8" t="s">
        <v>61</v>
      </c>
      <c r="AG8" t="s">
        <v>57</v>
      </c>
      <c r="AH8" t="s">
        <v>57</v>
      </c>
      <c r="AN8" t="s">
        <v>57</v>
      </c>
      <c r="AP8" t="s">
        <v>62</v>
      </c>
      <c r="AS8" t="s">
        <v>57</v>
      </c>
      <c r="AT8" t="s">
        <v>57</v>
      </c>
      <c r="AU8" t="s">
        <v>57</v>
      </c>
      <c r="AW8" t="s">
        <v>63</v>
      </c>
      <c r="AX8" t="s">
        <v>70</v>
      </c>
    </row>
    <row r="9" spans="1:52">
      <c r="A9">
        <v>26514849</v>
      </c>
      <c r="B9">
        <v>10124722</v>
      </c>
      <c r="C9" t="str">
        <f>"191025601330"</f>
        <v>191025601330</v>
      </c>
      <c r="D9" t="s">
        <v>86</v>
      </c>
      <c r="E9" t="s">
        <v>87</v>
      </c>
      <c r="F9" t="s">
        <v>88</v>
      </c>
      <c r="G9" s="1">
        <v>43763</v>
      </c>
      <c r="I9" t="s">
        <v>74</v>
      </c>
      <c r="J9" t="s">
        <v>55</v>
      </c>
      <c r="K9" t="s">
        <v>56</v>
      </c>
      <c r="Q9" t="s">
        <v>57</v>
      </c>
      <c r="R9" t="str">
        <f>"КАЗАХСТАН, АБАЙ, Кокжайыкский, Кокжайык, 63А"</f>
        <v>КАЗАХСТАН, АБАЙ, Кокжайыкский, Кокжайык, 63А</v>
      </c>
      <c r="S9" t="str">
        <f>"ҚАЗАҚСТАН, АБАЙ, Кокжайыкский, Кокжайык, 63А"</f>
        <v>ҚАЗАҚСТАН, АБАЙ, Кокжайыкский, Кокжайык, 63А</v>
      </c>
      <c r="T9" t="str">
        <f>"Кокжайыкский, Кокжайык, 63А"</f>
        <v>Кокжайыкский, Кокжайык, 63А</v>
      </c>
      <c r="U9" t="str">
        <f>"Кокжайыкский, Кокжайык, 63А"</f>
        <v>Кокжайыкский, Кокжайык, 63А</v>
      </c>
      <c r="V9" t="str">
        <f>"2023-09-19T00:00:00"</f>
        <v>2023-09-19T00:00:00</v>
      </c>
      <c r="X9" t="str">
        <f>"Қошақан"</f>
        <v>Қошақан</v>
      </c>
      <c r="Y9" t="s">
        <v>66</v>
      </c>
      <c r="AA9" t="s">
        <v>59</v>
      </c>
      <c r="AC9" t="s">
        <v>60</v>
      </c>
      <c r="AD9" t="s">
        <v>60</v>
      </c>
      <c r="AE9" t="s">
        <v>61</v>
      </c>
      <c r="AG9" t="s">
        <v>57</v>
      </c>
      <c r="AH9" t="s">
        <v>57</v>
      </c>
      <c r="AN9" t="s">
        <v>57</v>
      </c>
      <c r="AP9" t="s">
        <v>62</v>
      </c>
      <c r="AS9" t="s">
        <v>57</v>
      </c>
      <c r="AT9" t="s">
        <v>57</v>
      </c>
      <c r="AU9" t="s">
        <v>70</v>
      </c>
      <c r="AV9" t="s">
        <v>89</v>
      </c>
      <c r="AW9" t="s">
        <v>90</v>
      </c>
      <c r="AX9" t="s">
        <v>70</v>
      </c>
    </row>
    <row r="10" spans="1:52">
      <c r="A10">
        <v>26514435</v>
      </c>
      <c r="B10">
        <v>12669829</v>
      </c>
      <c r="C10" t="str">
        <f>"200110602342"</f>
        <v>200110602342</v>
      </c>
      <c r="D10" t="s">
        <v>91</v>
      </c>
      <c r="E10" t="s">
        <v>92</v>
      </c>
      <c r="F10" t="s">
        <v>93</v>
      </c>
      <c r="G10" s="1">
        <v>43840</v>
      </c>
      <c r="I10" t="s">
        <v>74</v>
      </c>
      <c r="J10" t="s">
        <v>55</v>
      </c>
      <c r="K10" t="s">
        <v>56</v>
      </c>
      <c r="Q10" t="s">
        <v>57</v>
      </c>
      <c r="R10" t="str">
        <f>"КАЗАХСТАН, АБАЙ, Кокпектинский, Кокпекты, 91"</f>
        <v>КАЗАХСТАН, АБАЙ, Кокпектинский, Кокпекты, 91</v>
      </c>
      <c r="S10" t="str">
        <f>"ҚАЗАҚСТАН, АБАЙ, Кокпектинский, Кокпекты, 91"</f>
        <v>ҚАЗАҚСТАН, АБАЙ, Кокпектинский, Кокпекты, 91</v>
      </c>
      <c r="T10" t="str">
        <f>"Кокпектинский, Кокпекты, 91"</f>
        <v>Кокпектинский, Кокпекты, 91</v>
      </c>
      <c r="U10" t="str">
        <f>"Кокпектинский, Кокпекты, 91"</f>
        <v>Кокпектинский, Кокпекты, 91</v>
      </c>
      <c r="V10" t="str">
        <f>"2023-09-19T00:00:00"</f>
        <v>2023-09-19T00:00:00</v>
      </c>
      <c r="X10" t="str">
        <f>"Қошақан"</f>
        <v>Қошақан</v>
      </c>
      <c r="Y10" t="s">
        <v>66</v>
      </c>
      <c r="AA10" t="s">
        <v>59</v>
      </c>
      <c r="AC10" t="s">
        <v>60</v>
      </c>
      <c r="AD10" t="s">
        <v>60</v>
      </c>
      <c r="AE10" t="s">
        <v>61</v>
      </c>
      <c r="AG10" t="s">
        <v>57</v>
      </c>
      <c r="AH10" t="s">
        <v>57</v>
      </c>
      <c r="AN10" t="s">
        <v>57</v>
      </c>
      <c r="AP10" t="s">
        <v>62</v>
      </c>
      <c r="AS10" t="s">
        <v>57</v>
      </c>
      <c r="AT10" t="s">
        <v>57</v>
      </c>
      <c r="AU10" t="s">
        <v>57</v>
      </c>
      <c r="AW10" t="s">
        <v>63</v>
      </c>
      <c r="AX10" t="s">
        <v>57</v>
      </c>
    </row>
    <row r="11" spans="1:52">
      <c r="A11">
        <v>25740767</v>
      </c>
      <c r="B11">
        <v>12951328</v>
      </c>
      <c r="C11" t="str">
        <f>"200125504255"</f>
        <v>200125504255</v>
      </c>
      <c r="D11" t="s">
        <v>94</v>
      </c>
      <c r="E11" t="s">
        <v>95</v>
      </c>
      <c r="F11" t="s">
        <v>96</v>
      </c>
      <c r="G11" s="1">
        <v>43855</v>
      </c>
      <c r="I11" t="s">
        <v>54</v>
      </c>
      <c r="J11" t="s">
        <v>55</v>
      </c>
      <c r="K11" t="s">
        <v>56</v>
      </c>
      <c r="Q11" t="s">
        <v>57</v>
      </c>
      <c r="R11" t="str">
        <f t="shared" ref="R11:U12" si="1">"-"</f>
        <v>-</v>
      </c>
      <c r="S11" t="str">
        <f t="shared" si="1"/>
        <v>-</v>
      </c>
      <c r="T11" t="str">
        <f t="shared" si="1"/>
        <v>-</v>
      </c>
      <c r="U11" t="str">
        <f t="shared" si="1"/>
        <v>-</v>
      </c>
      <c r="V11" t="str">
        <f>"2023-09-01T00:00:00"</f>
        <v>2023-09-01T00:00:00</v>
      </c>
      <c r="X11" t="str">
        <f>"Қошақан"</f>
        <v>Қошақан</v>
      </c>
      <c r="Y11" t="s">
        <v>66</v>
      </c>
      <c r="AA11" t="s">
        <v>59</v>
      </c>
      <c r="AB11" t="s">
        <v>81</v>
      </c>
      <c r="AC11" t="s">
        <v>60</v>
      </c>
      <c r="AD11" t="s">
        <v>60</v>
      </c>
      <c r="AE11" t="s">
        <v>61</v>
      </c>
      <c r="AG11" t="s">
        <v>57</v>
      </c>
      <c r="AH11" t="s">
        <v>57</v>
      </c>
      <c r="AN11" t="s">
        <v>57</v>
      </c>
      <c r="AP11" t="s">
        <v>62</v>
      </c>
      <c r="AS11" t="s">
        <v>57</v>
      </c>
      <c r="AT11" t="s">
        <v>57</v>
      </c>
      <c r="AU11" t="s">
        <v>70</v>
      </c>
      <c r="AV11" t="s">
        <v>89</v>
      </c>
      <c r="AW11" t="s">
        <v>90</v>
      </c>
      <c r="AX11" t="s">
        <v>57</v>
      </c>
    </row>
    <row r="12" spans="1:52">
      <c r="A12">
        <v>25727552</v>
      </c>
      <c r="B12">
        <v>12571929</v>
      </c>
      <c r="C12" t="str">
        <f>"211027551229"</f>
        <v>211027551229</v>
      </c>
      <c r="D12" t="s">
        <v>97</v>
      </c>
      <c r="E12" t="s">
        <v>98</v>
      </c>
      <c r="F12" t="s">
        <v>99</v>
      </c>
      <c r="G12" s="1">
        <v>44496</v>
      </c>
      <c r="I12" t="s">
        <v>54</v>
      </c>
      <c r="J12" t="s">
        <v>55</v>
      </c>
      <c r="K12" t="s">
        <v>56</v>
      </c>
      <c r="Q12" t="s">
        <v>57</v>
      </c>
      <c r="R12" t="str">
        <f t="shared" si="1"/>
        <v>-</v>
      </c>
      <c r="S12" t="str">
        <f t="shared" si="1"/>
        <v>-</v>
      </c>
      <c r="T12" t="str">
        <f t="shared" si="1"/>
        <v>-</v>
      </c>
      <c r="U12" t="str">
        <f t="shared" si="1"/>
        <v>-</v>
      </c>
      <c r="V12" t="str">
        <f>"2023-08-22T00:00:00"</f>
        <v>2023-08-22T00:00:00</v>
      </c>
      <c r="X12" t="str">
        <f>"Айгөлек"</f>
        <v>Айгөлек</v>
      </c>
      <c r="Y12" t="s">
        <v>85</v>
      </c>
      <c r="AA12" t="s">
        <v>59</v>
      </c>
      <c r="AC12" t="s">
        <v>60</v>
      </c>
      <c r="AD12" t="s">
        <v>60</v>
      </c>
      <c r="AE12" t="s">
        <v>61</v>
      </c>
      <c r="AG12" t="s">
        <v>57</v>
      </c>
      <c r="AH12" t="s">
        <v>57</v>
      </c>
      <c r="AN12" t="s">
        <v>57</v>
      </c>
      <c r="AP12" t="s">
        <v>62</v>
      </c>
      <c r="AS12" t="s">
        <v>57</v>
      </c>
      <c r="AT12" t="s">
        <v>57</v>
      </c>
      <c r="AU12" t="s">
        <v>57</v>
      </c>
      <c r="AW12" t="s">
        <v>63</v>
      </c>
      <c r="AX12" t="s">
        <v>57</v>
      </c>
    </row>
    <row r="13" spans="1:52">
      <c r="A13">
        <v>25727170</v>
      </c>
      <c r="B13">
        <v>13360929</v>
      </c>
      <c r="C13" t="str">
        <f>"190912604875"</f>
        <v>190912604875</v>
      </c>
      <c r="D13" t="s">
        <v>100</v>
      </c>
      <c r="E13" t="s">
        <v>101</v>
      </c>
      <c r="G13" s="1">
        <v>43720</v>
      </c>
      <c r="I13" t="s">
        <v>74</v>
      </c>
      <c r="J13" t="s">
        <v>55</v>
      </c>
      <c r="K13" t="s">
        <v>56</v>
      </c>
      <c r="Q13" t="s">
        <v>57</v>
      </c>
      <c r="R13" t="str">
        <f>"КАЗАХСТАН, АБАЙ, Кокпектинский, Кокпекты, 33, 2"</f>
        <v>КАЗАХСТАН, АБАЙ, Кокпектинский, Кокпекты, 33, 2</v>
      </c>
      <c r="S13" t="str">
        <f>"ҚАЗАҚСТАН, АБАЙ, Кокпектинский, Кокпекты, 33, 2"</f>
        <v>ҚАЗАҚСТАН, АБАЙ, Кокпектинский, Кокпекты, 33, 2</v>
      </c>
      <c r="T13" t="str">
        <f>"Кокпектинский, Кокпекты, 33, 2"</f>
        <v>Кокпектинский, Кокпекты, 33, 2</v>
      </c>
      <c r="U13" t="str">
        <f>"Кокпектинский, Кокпекты, 33, 2"</f>
        <v>Кокпектинский, Кокпекты, 33, 2</v>
      </c>
      <c r="V13" t="str">
        <f>"2023-08-29T00:00:00"</f>
        <v>2023-08-29T00:00:00</v>
      </c>
      <c r="X13" t="str">
        <f>"Қошақан"</f>
        <v>Қошақан</v>
      </c>
      <c r="Y13" t="s">
        <v>66</v>
      </c>
      <c r="AA13" t="s">
        <v>59</v>
      </c>
      <c r="AB13" t="s">
        <v>81</v>
      </c>
      <c r="AC13" t="s">
        <v>60</v>
      </c>
      <c r="AD13" t="s">
        <v>60</v>
      </c>
      <c r="AE13" t="s">
        <v>61</v>
      </c>
      <c r="AG13" t="s">
        <v>57</v>
      </c>
      <c r="AH13" t="s">
        <v>57</v>
      </c>
      <c r="AN13" t="s">
        <v>57</v>
      </c>
      <c r="AP13" t="s">
        <v>62</v>
      </c>
      <c r="AS13" t="s">
        <v>57</v>
      </c>
      <c r="AT13" t="s">
        <v>57</v>
      </c>
      <c r="AU13" t="s">
        <v>70</v>
      </c>
      <c r="AV13" t="s">
        <v>89</v>
      </c>
      <c r="AW13" t="s">
        <v>90</v>
      </c>
      <c r="AX13" t="s">
        <v>70</v>
      </c>
    </row>
    <row r="14" spans="1:52">
      <c r="A14">
        <v>25726956</v>
      </c>
      <c r="B14">
        <v>12667544</v>
      </c>
      <c r="C14" t="str">
        <f>"190806504480"</f>
        <v>190806504480</v>
      </c>
      <c r="D14" t="s">
        <v>102</v>
      </c>
      <c r="E14" t="s">
        <v>103</v>
      </c>
      <c r="F14" t="s">
        <v>64</v>
      </c>
      <c r="G14" s="1">
        <v>43683</v>
      </c>
      <c r="I14" t="s">
        <v>54</v>
      </c>
      <c r="J14" t="s">
        <v>55</v>
      </c>
      <c r="K14" t="s">
        <v>56</v>
      </c>
      <c r="Q14" t="s">
        <v>57</v>
      </c>
      <c r="R14" t="str">
        <f>"КАЗАХСТАН, АБАЙ, Кокпектинский, Кокпекты, 11"</f>
        <v>КАЗАХСТАН, АБАЙ, Кокпектинский, Кокпекты, 11</v>
      </c>
      <c r="S14" t="str">
        <f>"ҚАЗАҚСТАН, АБАЙ, Кокпектинский, Кокпекты, 11"</f>
        <v>ҚАЗАҚСТАН, АБАЙ, Кокпектинский, Кокпекты, 11</v>
      </c>
      <c r="T14" t="str">
        <f>"Кокпектинский, Кокпекты, 11"</f>
        <v>Кокпектинский, Кокпекты, 11</v>
      </c>
      <c r="U14" t="str">
        <f>"Кокпектинский, Кокпекты, 11"</f>
        <v>Кокпектинский, Кокпекты, 11</v>
      </c>
      <c r="V14" t="str">
        <f>"2023-08-29T00:00:00"</f>
        <v>2023-08-29T00:00:00</v>
      </c>
      <c r="X14" t="str">
        <f>"Қошақан"</f>
        <v>Қошақан</v>
      </c>
      <c r="Y14" t="s">
        <v>66</v>
      </c>
      <c r="AA14" t="s">
        <v>59</v>
      </c>
      <c r="AB14" t="s">
        <v>81</v>
      </c>
      <c r="AC14" t="s">
        <v>60</v>
      </c>
      <c r="AD14" t="s">
        <v>60</v>
      </c>
      <c r="AE14" t="s">
        <v>61</v>
      </c>
      <c r="AG14" t="s">
        <v>57</v>
      </c>
      <c r="AH14" t="s">
        <v>57</v>
      </c>
      <c r="AN14" t="s">
        <v>57</v>
      </c>
      <c r="AP14" t="s">
        <v>62</v>
      </c>
      <c r="AS14" t="s">
        <v>57</v>
      </c>
      <c r="AT14" t="s">
        <v>57</v>
      </c>
      <c r="AU14" t="s">
        <v>57</v>
      </c>
      <c r="AV14" t="s">
        <v>104</v>
      </c>
      <c r="AW14" t="s">
        <v>105</v>
      </c>
      <c r="AX14" t="s">
        <v>70</v>
      </c>
    </row>
    <row r="15" spans="1:52">
      <c r="A15">
        <v>25726746</v>
      </c>
      <c r="B15">
        <v>13360862</v>
      </c>
      <c r="C15" t="str">
        <f>"211012656780"</f>
        <v>211012656780</v>
      </c>
      <c r="D15" t="s">
        <v>106</v>
      </c>
      <c r="E15" t="s">
        <v>107</v>
      </c>
      <c r="F15" t="s">
        <v>108</v>
      </c>
      <c r="G15" s="1">
        <v>44481</v>
      </c>
      <c r="I15" t="s">
        <v>74</v>
      </c>
      <c r="J15" t="s">
        <v>55</v>
      </c>
      <c r="K15" t="s">
        <v>56</v>
      </c>
      <c r="Q15" t="s">
        <v>57</v>
      </c>
      <c r="R15" t="str">
        <f t="shared" ref="R15:U16" si="2">"-"</f>
        <v>-</v>
      </c>
      <c r="S15" t="str">
        <f t="shared" si="2"/>
        <v>-</v>
      </c>
      <c r="T15" t="str">
        <f t="shared" si="2"/>
        <v>-</v>
      </c>
      <c r="U15" t="str">
        <f t="shared" si="2"/>
        <v>-</v>
      </c>
      <c r="V15" t="str">
        <f>"2023-08-29T00:00:00"</f>
        <v>2023-08-29T00:00:00</v>
      </c>
      <c r="X15" t="str">
        <f>"Айгөлек"</f>
        <v>Айгөлек</v>
      </c>
      <c r="Y15" t="s">
        <v>85</v>
      </c>
      <c r="AA15" t="s">
        <v>59</v>
      </c>
      <c r="AC15" t="s">
        <v>60</v>
      </c>
      <c r="AD15" t="s">
        <v>60</v>
      </c>
      <c r="AE15" t="s">
        <v>61</v>
      </c>
      <c r="AG15" t="s">
        <v>57</v>
      </c>
      <c r="AH15" t="s">
        <v>57</v>
      </c>
      <c r="AN15" t="s">
        <v>57</v>
      </c>
      <c r="AP15" t="s">
        <v>62</v>
      </c>
      <c r="AS15" t="s">
        <v>57</v>
      </c>
      <c r="AT15" t="s">
        <v>57</v>
      </c>
      <c r="AU15" t="s">
        <v>70</v>
      </c>
      <c r="AV15" t="s">
        <v>89</v>
      </c>
      <c r="AW15" t="s">
        <v>63</v>
      </c>
      <c r="AX15" t="s">
        <v>57</v>
      </c>
    </row>
    <row r="16" spans="1:52">
      <c r="A16">
        <v>25726225</v>
      </c>
      <c r="B16">
        <v>13114573</v>
      </c>
      <c r="C16" t="str">
        <f>"210125550032"</f>
        <v>210125550032</v>
      </c>
      <c r="D16" t="s">
        <v>102</v>
      </c>
      <c r="E16" t="s">
        <v>109</v>
      </c>
      <c r="F16" t="s">
        <v>64</v>
      </c>
      <c r="G16" s="1">
        <v>44221</v>
      </c>
      <c r="I16" t="s">
        <v>54</v>
      </c>
      <c r="J16" t="s">
        <v>55</v>
      </c>
      <c r="K16" t="s">
        <v>56</v>
      </c>
      <c r="Q16" t="s">
        <v>57</v>
      </c>
      <c r="R16" t="str">
        <f t="shared" si="2"/>
        <v>-</v>
      </c>
      <c r="S16" t="str">
        <f t="shared" si="2"/>
        <v>-</v>
      </c>
      <c r="T16" t="str">
        <f t="shared" si="2"/>
        <v>-</v>
      </c>
      <c r="U16" t="str">
        <f t="shared" si="2"/>
        <v>-</v>
      </c>
      <c r="V16" t="str">
        <f>"2023-08-29T00:00:00"</f>
        <v>2023-08-29T00:00:00</v>
      </c>
      <c r="X16" t="str">
        <f>"Айгөлек"</f>
        <v>Айгөлек</v>
      </c>
      <c r="Y16" t="s">
        <v>85</v>
      </c>
      <c r="AA16" t="s">
        <v>59</v>
      </c>
      <c r="AC16" t="s">
        <v>60</v>
      </c>
      <c r="AD16" t="s">
        <v>60</v>
      </c>
      <c r="AE16" t="s">
        <v>61</v>
      </c>
      <c r="AG16" t="s">
        <v>57</v>
      </c>
      <c r="AH16" t="s">
        <v>57</v>
      </c>
      <c r="AN16" t="s">
        <v>57</v>
      </c>
      <c r="AP16" t="s">
        <v>62</v>
      </c>
      <c r="AS16" t="s">
        <v>57</v>
      </c>
      <c r="AT16" t="s">
        <v>57</v>
      </c>
      <c r="AU16" t="s">
        <v>57</v>
      </c>
      <c r="AV16" t="s">
        <v>104</v>
      </c>
      <c r="AW16" t="s">
        <v>63</v>
      </c>
      <c r="AX16" t="s">
        <v>70</v>
      </c>
    </row>
    <row r="17" spans="1:50">
      <c r="A17">
        <v>25725961</v>
      </c>
      <c r="B17">
        <v>12631940</v>
      </c>
      <c r="C17" t="str">
        <f>"210108554062"</f>
        <v>210108554062</v>
      </c>
      <c r="D17" t="s">
        <v>110</v>
      </c>
      <c r="E17" t="s">
        <v>111</v>
      </c>
      <c r="F17" t="s">
        <v>112</v>
      </c>
      <c r="G17" s="1">
        <v>44204</v>
      </c>
      <c r="I17" t="s">
        <v>54</v>
      </c>
      <c r="J17" t="s">
        <v>55</v>
      </c>
      <c r="K17" t="s">
        <v>56</v>
      </c>
      <c r="Q17" t="s">
        <v>57</v>
      </c>
      <c r="R17" t="str">
        <f>"КАЗАХСТАН, АБАЙ, Аксуатский, Аксуат, 24/11"</f>
        <v>КАЗАХСТАН, АБАЙ, Аксуатский, Аксуат, 24/11</v>
      </c>
      <c r="S17" t="str">
        <f>"ҚАЗАҚСТАН, АБАЙ, Аксуатский, Аксуат, 24/11"</f>
        <v>ҚАЗАҚСТАН, АБАЙ, Аксуатский, Аксуат, 24/11</v>
      </c>
      <c r="T17" t="str">
        <f>"Аксуатский, Аксуат, 24/11"</f>
        <v>Аксуатский, Аксуат, 24/11</v>
      </c>
      <c r="U17" t="str">
        <f>"Аксуатский, Аксуат, 24/11"</f>
        <v>Аксуатский, Аксуат, 24/11</v>
      </c>
      <c r="V17" t="str">
        <f>"2023-09-01T00:00:00"</f>
        <v>2023-09-01T00:00:00</v>
      </c>
      <c r="X17" t="str">
        <f>"Айгөлек"</f>
        <v>Айгөлек</v>
      </c>
      <c r="Y17" t="s">
        <v>85</v>
      </c>
      <c r="AA17" t="s">
        <v>59</v>
      </c>
      <c r="AC17" t="s">
        <v>60</v>
      </c>
      <c r="AD17" t="s">
        <v>60</v>
      </c>
      <c r="AE17" t="s">
        <v>61</v>
      </c>
      <c r="AG17" t="s">
        <v>57</v>
      </c>
      <c r="AH17" t="s">
        <v>57</v>
      </c>
      <c r="AN17" t="s">
        <v>57</v>
      </c>
      <c r="AP17" t="s">
        <v>62</v>
      </c>
      <c r="AS17" t="s">
        <v>57</v>
      </c>
      <c r="AT17" t="s">
        <v>57</v>
      </c>
      <c r="AU17" t="s">
        <v>57</v>
      </c>
      <c r="AW17" t="s">
        <v>63</v>
      </c>
      <c r="AX17" t="s">
        <v>57</v>
      </c>
    </row>
    <row r="18" spans="1:50">
      <c r="A18">
        <v>25543658</v>
      </c>
      <c r="B18">
        <v>9943643</v>
      </c>
      <c r="C18" t="str">
        <f>"190730504478"</f>
        <v>190730504478</v>
      </c>
      <c r="D18" t="s">
        <v>113</v>
      </c>
      <c r="E18" t="s">
        <v>114</v>
      </c>
      <c r="F18" t="s">
        <v>115</v>
      </c>
      <c r="G18" s="1">
        <v>43676</v>
      </c>
      <c r="I18" t="s">
        <v>54</v>
      </c>
      <c r="J18" t="s">
        <v>55</v>
      </c>
      <c r="K18" t="s">
        <v>56</v>
      </c>
      <c r="Q18" t="s">
        <v>57</v>
      </c>
      <c r="R18" t="str">
        <f>"КАЗАХСТАН, АБАЙ, АУЫЛДЫҚ ОКРУГІ Койгельды Аухадиева, АУЫЛЫ Преображенка, 138"</f>
        <v>КАЗАХСТАН, АБАЙ, АУЫЛДЫҚ ОКРУГІ Койгельды Аухадиева, АУЫЛЫ Преображенка, 138</v>
      </c>
      <c r="S18" t="str">
        <f>"ҚАЗАҚСТАН, АБАЙ, АУЫЛДЫҚ ОКРУГІ Койгельды Аухадиева, АУЫЛЫ Преображенка, 138"</f>
        <v>ҚАЗАҚСТАН, АБАЙ, АУЫЛДЫҚ ОКРУГІ Койгельды Аухадиева, АУЫЛЫ Преображенка, 138</v>
      </c>
      <c r="T18" t="str">
        <f>"АУЫЛДЫҚ ОКРУГІ Койгельды Аухадиева, АУЫЛЫ Преображенка, 138"</f>
        <v>АУЫЛДЫҚ ОКРУГІ Койгельды Аухадиева, АУЫЛЫ Преображенка, 138</v>
      </c>
      <c r="U18" t="str">
        <f>"АУЫЛДЫҚ ОКРУГІ Койгельды Аухадиева, АУЫЛЫ Преображенка, 138"</f>
        <v>АУЫЛДЫҚ ОКРУГІ Койгельды Аухадиева, АУЫЛЫ Преображенка, 138</v>
      </c>
      <c r="V18" t="str">
        <f>"2023-08-28T00:00:00"</f>
        <v>2023-08-28T00:00:00</v>
      </c>
      <c r="X18" t="str">
        <f>"Қошақан"</f>
        <v>Қошақан</v>
      </c>
      <c r="Y18" t="s">
        <v>66</v>
      </c>
      <c r="AA18" t="s">
        <v>59</v>
      </c>
      <c r="AB18" t="s">
        <v>81</v>
      </c>
      <c r="AC18" t="s">
        <v>60</v>
      </c>
      <c r="AD18" t="s">
        <v>60</v>
      </c>
      <c r="AE18" t="s">
        <v>61</v>
      </c>
      <c r="AG18" t="s">
        <v>57</v>
      </c>
      <c r="AH18" t="s">
        <v>57</v>
      </c>
      <c r="AN18" t="s">
        <v>57</v>
      </c>
      <c r="AP18" t="s">
        <v>62</v>
      </c>
      <c r="AS18" t="s">
        <v>57</v>
      </c>
      <c r="AT18" t="s">
        <v>57</v>
      </c>
      <c r="AU18" t="s">
        <v>57</v>
      </c>
      <c r="AW18" t="s">
        <v>63</v>
      </c>
      <c r="AX18" t="s">
        <v>57</v>
      </c>
    </row>
    <row r="19" spans="1:50">
      <c r="A19">
        <v>25542437</v>
      </c>
      <c r="B19">
        <v>12666860</v>
      </c>
      <c r="C19" t="str">
        <f>"190604606069"</f>
        <v>190604606069</v>
      </c>
      <c r="D19" t="s">
        <v>116</v>
      </c>
      <c r="E19" t="s">
        <v>117</v>
      </c>
      <c r="G19" s="1">
        <v>43620</v>
      </c>
      <c r="I19" t="s">
        <v>74</v>
      </c>
      <c r="J19" t="s">
        <v>55</v>
      </c>
      <c r="K19" t="s">
        <v>56</v>
      </c>
      <c r="Q19" t="s">
        <v>57</v>
      </c>
      <c r="R19" t="str">
        <f>"КАЗАХСТАН, АБАЙ, Кокпектинский, Ажа, 49"</f>
        <v>КАЗАХСТАН, АБАЙ, Кокпектинский, Ажа, 49</v>
      </c>
      <c r="S19" t="str">
        <f>"ҚАЗАҚСТАН, АБАЙ, Кокпектинский, Ажа, 49"</f>
        <v>ҚАЗАҚСТАН, АБАЙ, Кокпектинский, Ажа, 49</v>
      </c>
      <c r="T19" t="str">
        <f>"Кокпектинский, Ажа, 49"</f>
        <v>Кокпектинский, Ажа, 49</v>
      </c>
      <c r="U19" t="str">
        <f>"Кокпектинский, Ажа, 49"</f>
        <v>Кокпектинский, Ажа, 49</v>
      </c>
      <c r="V19" t="str">
        <f>"2023-08-28T00:00:00"</f>
        <v>2023-08-28T00:00:00</v>
      </c>
      <c r="X19" t="str">
        <f>"Балапан"</f>
        <v>Балапан</v>
      </c>
      <c r="Y19" t="s">
        <v>58</v>
      </c>
      <c r="AA19" t="s">
        <v>59</v>
      </c>
      <c r="AC19" t="s">
        <v>60</v>
      </c>
      <c r="AD19" t="s">
        <v>60</v>
      </c>
      <c r="AE19" t="s">
        <v>61</v>
      </c>
      <c r="AG19" t="s">
        <v>57</v>
      </c>
      <c r="AH19" t="s">
        <v>57</v>
      </c>
      <c r="AN19" t="s">
        <v>57</v>
      </c>
      <c r="AP19" t="s">
        <v>62</v>
      </c>
      <c r="AS19" t="s">
        <v>57</v>
      </c>
      <c r="AT19" t="s">
        <v>57</v>
      </c>
      <c r="AU19" t="s">
        <v>57</v>
      </c>
      <c r="AW19" t="s">
        <v>63</v>
      </c>
      <c r="AX19" t="s">
        <v>57</v>
      </c>
    </row>
    <row r="20" spans="1:50">
      <c r="A20">
        <v>25542163</v>
      </c>
      <c r="B20">
        <v>13339778</v>
      </c>
      <c r="C20" t="str">
        <f>"210428554924"</f>
        <v>210428554924</v>
      </c>
      <c r="D20" t="s">
        <v>118</v>
      </c>
      <c r="E20" t="s">
        <v>119</v>
      </c>
      <c r="F20" t="s">
        <v>120</v>
      </c>
      <c r="G20" s="1">
        <v>44314</v>
      </c>
      <c r="I20" t="s">
        <v>54</v>
      </c>
      <c r="J20" t="s">
        <v>55</v>
      </c>
      <c r="K20" t="s">
        <v>121</v>
      </c>
      <c r="Q20" t="s">
        <v>57</v>
      </c>
      <c r="R20" t="str">
        <f t="shared" ref="R20:U21" si="3">"-"</f>
        <v>-</v>
      </c>
      <c r="S20" t="str">
        <f t="shared" si="3"/>
        <v>-</v>
      </c>
      <c r="T20" t="str">
        <f t="shared" si="3"/>
        <v>-</v>
      </c>
      <c r="U20" t="str">
        <f t="shared" si="3"/>
        <v>-</v>
      </c>
      <c r="V20" t="str">
        <f>"2023-08-28T00:00:00"</f>
        <v>2023-08-28T00:00:00</v>
      </c>
      <c r="X20" t="str">
        <f>"Солнышко"</f>
        <v>Солнышко</v>
      </c>
      <c r="Y20" t="s">
        <v>85</v>
      </c>
      <c r="AA20" t="s">
        <v>122</v>
      </c>
      <c r="AC20" t="s">
        <v>60</v>
      </c>
      <c r="AD20" t="s">
        <v>60</v>
      </c>
      <c r="AE20" t="s">
        <v>61</v>
      </c>
      <c r="AG20" t="s">
        <v>57</v>
      </c>
      <c r="AH20" t="s">
        <v>57</v>
      </c>
      <c r="AN20" t="s">
        <v>57</v>
      </c>
      <c r="AP20" t="s">
        <v>62</v>
      </c>
      <c r="AS20" t="s">
        <v>57</v>
      </c>
      <c r="AT20" t="s">
        <v>57</v>
      </c>
      <c r="AU20" t="s">
        <v>57</v>
      </c>
      <c r="AW20" t="s">
        <v>63</v>
      </c>
      <c r="AX20" t="s">
        <v>57</v>
      </c>
    </row>
    <row r="21" spans="1:50">
      <c r="A21">
        <v>25438706</v>
      </c>
      <c r="B21">
        <v>12667099</v>
      </c>
      <c r="C21" t="str">
        <f>"200713600047"</f>
        <v>200713600047</v>
      </c>
      <c r="D21" t="s">
        <v>123</v>
      </c>
      <c r="E21" t="s">
        <v>124</v>
      </c>
      <c r="F21" t="s">
        <v>125</v>
      </c>
      <c r="G21" s="1">
        <v>44025</v>
      </c>
      <c r="I21" t="s">
        <v>74</v>
      </c>
      <c r="J21" t="s">
        <v>55</v>
      </c>
      <c r="K21" t="s">
        <v>56</v>
      </c>
      <c r="Q21" t="s">
        <v>57</v>
      </c>
      <c r="R21" t="str">
        <f t="shared" si="3"/>
        <v>-</v>
      </c>
      <c r="S21" t="str">
        <f t="shared" si="3"/>
        <v>-</v>
      </c>
      <c r="T21" t="str">
        <f t="shared" si="3"/>
        <v>-</v>
      </c>
      <c r="U21" t="str">
        <f t="shared" si="3"/>
        <v>-</v>
      </c>
      <c r="V21" t="str">
        <f>"2023-08-23T00:00:00"</f>
        <v>2023-08-23T00:00:00</v>
      </c>
      <c r="X21" t="str">
        <f>"Қошақан"</f>
        <v>Қошақан</v>
      </c>
      <c r="Y21" t="s">
        <v>66</v>
      </c>
      <c r="AA21" t="s">
        <v>59</v>
      </c>
      <c r="AB21" t="s">
        <v>81</v>
      </c>
      <c r="AC21" t="s">
        <v>60</v>
      </c>
      <c r="AD21" t="s">
        <v>60</v>
      </c>
      <c r="AE21" t="s">
        <v>61</v>
      </c>
      <c r="AG21" t="s">
        <v>57</v>
      </c>
      <c r="AH21" t="s">
        <v>57</v>
      </c>
      <c r="AN21" t="s">
        <v>57</v>
      </c>
      <c r="AP21" t="s">
        <v>62</v>
      </c>
      <c r="AS21" t="s">
        <v>57</v>
      </c>
      <c r="AT21" t="s">
        <v>57</v>
      </c>
      <c r="AU21" t="s">
        <v>57</v>
      </c>
      <c r="AW21" t="s">
        <v>63</v>
      </c>
      <c r="AX21" t="s">
        <v>57</v>
      </c>
    </row>
    <row r="22" spans="1:50">
      <c r="A22">
        <v>25409528</v>
      </c>
      <c r="B22">
        <v>11945679</v>
      </c>
      <c r="C22" t="str">
        <f>"181209603810"</f>
        <v>181209603810</v>
      </c>
      <c r="D22" t="s">
        <v>126</v>
      </c>
      <c r="E22" t="s">
        <v>127</v>
      </c>
      <c r="G22" s="1">
        <v>43443</v>
      </c>
      <c r="I22" t="s">
        <v>74</v>
      </c>
      <c r="J22" t="s">
        <v>55</v>
      </c>
      <c r="K22" t="s">
        <v>56</v>
      </c>
      <c r="Q22" t="s">
        <v>57</v>
      </c>
      <c r="R22" t="str">
        <f>"КАЗАХСТАН, АБАЙ, Кокпектинский, Кокпекты, 14, 1"</f>
        <v>КАЗАХСТАН, АБАЙ, Кокпектинский, Кокпекты, 14, 1</v>
      </c>
      <c r="S22" t="str">
        <f>"ҚАЗАҚСТАН, АБАЙ, Кокпектинский, Кокпекты, 14, 1"</f>
        <v>ҚАЗАҚСТАН, АБАЙ, Кокпектинский, Кокпекты, 14, 1</v>
      </c>
      <c r="T22" t="str">
        <f>"Кокпектинский, Кокпекты, 14, 1"</f>
        <v>Кокпектинский, Кокпекты, 14, 1</v>
      </c>
      <c r="U22" t="str">
        <f>"Кокпектинский, Кокпекты, 14, 1"</f>
        <v>Кокпектинский, Кокпекты, 14, 1</v>
      </c>
      <c r="V22" t="str">
        <f>"2023-08-22T00:00:00"</f>
        <v>2023-08-22T00:00:00</v>
      </c>
      <c r="X22" t="str">
        <f>"Балапан"</f>
        <v>Балапан</v>
      </c>
      <c r="Y22" t="s">
        <v>58</v>
      </c>
      <c r="AA22" t="s">
        <v>59</v>
      </c>
      <c r="AC22" t="s">
        <v>60</v>
      </c>
      <c r="AD22" t="s">
        <v>60</v>
      </c>
      <c r="AE22" t="s">
        <v>61</v>
      </c>
      <c r="AG22" t="s">
        <v>57</v>
      </c>
      <c r="AH22" t="s">
        <v>57</v>
      </c>
      <c r="AN22" t="s">
        <v>57</v>
      </c>
      <c r="AP22" t="s">
        <v>62</v>
      </c>
      <c r="AS22" t="s">
        <v>57</v>
      </c>
      <c r="AT22" t="s">
        <v>57</v>
      </c>
      <c r="AU22" t="s">
        <v>57</v>
      </c>
      <c r="AW22" t="s">
        <v>63</v>
      </c>
      <c r="AX22" t="s">
        <v>70</v>
      </c>
    </row>
    <row r="23" spans="1:50">
      <c r="A23">
        <v>25408288</v>
      </c>
      <c r="B23">
        <v>13321391</v>
      </c>
      <c r="C23" t="str">
        <f>"211203556583"</f>
        <v>211203556583</v>
      </c>
      <c r="D23" t="s">
        <v>128</v>
      </c>
      <c r="E23" t="s">
        <v>129</v>
      </c>
      <c r="F23" t="s">
        <v>130</v>
      </c>
      <c r="G23" s="1">
        <v>44533</v>
      </c>
      <c r="I23" t="s">
        <v>54</v>
      </c>
      <c r="J23" t="s">
        <v>55</v>
      </c>
      <c r="K23" t="s">
        <v>56</v>
      </c>
      <c r="Q23" t="s">
        <v>57</v>
      </c>
      <c r="R23" t="str">
        <f t="shared" ref="R23:U34" si="4">"-"</f>
        <v>-</v>
      </c>
      <c r="S23" t="str">
        <f t="shared" si="4"/>
        <v>-</v>
      </c>
      <c r="T23" t="str">
        <f t="shared" si="4"/>
        <v>-</v>
      </c>
      <c r="U23" t="str">
        <f t="shared" si="4"/>
        <v>-</v>
      </c>
      <c r="V23" t="str">
        <f>"2023-08-22T00:00:00"</f>
        <v>2023-08-22T00:00:00</v>
      </c>
      <c r="X23" t="str">
        <f>"Айгөлек"</f>
        <v>Айгөлек</v>
      </c>
      <c r="Y23" t="s">
        <v>85</v>
      </c>
      <c r="AA23" t="s">
        <v>59</v>
      </c>
      <c r="AC23" t="s">
        <v>60</v>
      </c>
      <c r="AD23" t="s">
        <v>60</v>
      </c>
      <c r="AE23" t="s">
        <v>61</v>
      </c>
      <c r="AG23" t="s">
        <v>57</v>
      </c>
      <c r="AH23" t="s">
        <v>57</v>
      </c>
      <c r="AN23" t="s">
        <v>57</v>
      </c>
      <c r="AP23" t="s">
        <v>62</v>
      </c>
      <c r="AS23" t="s">
        <v>57</v>
      </c>
      <c r="AT23" t="s">
        <v>57</v>
      </c>
      <c r="AU23" t="s">
        <v>57</v>
      </c>
      <c r="AW23" t="s">
        <v>63</v>
      </c>
      <c r="AX23" t="s">
        <v>57</v>
      </c>
    </row>
    <row r="24" spans="1:50">
      <c r="A24">
        <v>25408118</v>
      </c>
      <c r="B24">
        <v>13321363</v>
      </c>
      <c r="C24" t="str">
        <f>"211125554018"</f>
        <v>211125554018</v>
      </c>
      <c r="D24" t="s">
        <v>131</v>
      </c>
      <c r="E24" t="s">
        <v>132</v>
      </c>
      <c r="G24" s="1">
        <v>44525</v>
      </c>
      <c r="I24" t="s">
        <v>54</v>
      </c>
      <c r="J24" t="s">
        <v>55</v>
      </c>
      <c r="K24" t="s">
        <v>56</v>
      </c>
      <c r="Q24" t="s">
        <v>57</v>
      </c>
      <c r="R24" t="str">
        <f t="shared" si="4"/>
        <v>-</v>
      </c>
      <c r="S24" t="str">
        <f t="shared" si="4"/>
        <v>-</v>
      </c>
      <c r="T24" t="str">
        <f t="shared" si="4"/>
        <v>-</v>
      </c>
      <c r="U24" t="str">
        <f t="shared" si="4"/>
        <v>-</v>
      </c>
      <c r="V24" t="str">
        <f>"2023-08-22T00:00:00"</f>
        <v>2023-08-22T00:00:00</v>
      </c>
      <c r="X24" t="str">
        <f>"Айгөлек"</f>
        <v>Айгөлек</v>
      </c>
      <c r="Y24" t="s">
        <v>85</v>
      </c>
      <c r="AA24" t="s">
        <v>59</v>
      </c>
      <c r="AC24" t="s">
        <v>60</v>
      </c>
      <c r="AD24" t="s">
        <v>60</v>
      </c>
      <c r="AE24" t="s">
        <v>61</v>
      </c>
      <c r="AG24" t="s">
        <v>57</v>
      </c>
      <c r="AH24" t="s">
        <v>57</v>
      </c>
      <c r="AN24" t="s">
        <v>57</v>
      </c>
      <c r="AP24" t="s">
        <v>62</v>
      </c>
      <c r="AS24" t="s">
        <v>57</v>
      </c>
      <c r="AT24" t="s">
        <v>57</v>
      </c>
      <c r="AU24" t="s">
        <v>70</v>
      </c>
      <c r="AV24" t="s">
        <v>89</v>
      </c>
      <c r="AW24" t="s">
        <v>63</v>
      </c>
      <c r="AX24" t="s">
        <v>70</v>
      </c>
    </row>
    <row r="25" spans="1:50">
      <c r="A25">
        <v>25407672</v>
      </c>
      <c r="B25">
        <v>13321296</v>
      </c>
      <c r="C25" t="str">
        <f>"211119552495"</f>
        <v>211119552495</v>
      </c>
      <c r="D25" t="s">
        <v>133</v>
      </c>
      <c r="E25" t="s">
        <v>134</v>
      </c>
      <c r="F25" t="s">
        <v>135</v>
      </c>
      <c r="G25" s="1">
        <v>44519</v>
      </c>
      <c r="I25" t="s">
        <v>54</v>
      </c>
      <c r="J25" t="s">
        <v>55</v>
      </c>
      <c r="K25" t="s">
        <v>56</v>
      </c>
      <c r="Q25" t="s">
        <v>57</v>
      </c>
      <c r="R25" t="str">
        <f t="shared" si="4"/>
        <v>-</v>
      </c>
      <c r="S25" t="str">
        <f t="shared" si="4"/>
        <v>-</v>
      </c>
      <c r="T25" t="str">
        <f t="shared" si="4"/>
        <v>-</v>
      </c>
      <c r="U25" t="str">
        <f t="shared" si="4"/>
        <v>-</v>
      </c>
      <c r="V25" t="str">
        <f>"2023-08-22T00:00:00"</f>
        <v>2023-08-22T00:00:00</v>
      </c>
      <c r="X25" t="str">
        <f>"Айгөлек"</f>
        <v>Айгөлек</v>
      </c>
      <c r="Y25" t="s">
        <v>85</v>
      </c>
      <c r="AA25" t="s">
        <v>59</v>
      </c>
      <c r="AC25" t="s">
        <v>60</v>
      </c>
      <c r="AD25" t="s">
        <v>60</v>
      </c>
      <c r="AE25" t="s">
        <v>61</v>
      </c>
      <c r="AG25" t="s">
        <v>57</v>
      </c>
      <c r="AH25" t="s">
        <v>57</v>
      </c>
      <c r="AN25" t="s">
        <v>57</v>
      </c>
      <c r="AP25" t="s">
        <v>62</v>
      </c>
      <c r="AS25" t="s">
        <v>57</v>
      </c>
      <c r="AT25" t="s">
        <v>57</v>
      </c>
      <c r="AU25" t="s">
        <v>57</v>
      </c>
      <c r="AW25" t="s">
        <v>63</v>
      </c>
      <c r="AX25" t="s">
        <v>57</v>
      </c>
    </row>
    <row r="26" spans="1:50">
      <c r="A26">
        <v>25329403</v>
      </c>
      <c r="B26">
        <v>13308187</v>
      </c>
      <c r="C26" t="str">
        <f>"211113552630"</f>
        <v>211113552630</v>
      </c>
      <c r="D26" t="s">
        <v>136</v>
      </c>
      <c r="E26" t="s">
        <v>137</v>
      </c>
      <c r="F26" t="s">
        <v>138</v>
      </c>
      <c r="G26" s="1">
        <v>44513</v>
      </c>
      <c r="I26" t="s">
        <v>54</v>
      </c>
      <c r="J26" t="s">
        <v>55</v>
      </c>
      <c r="K26" t="s">
        <v>56</v>
      </c>
      <c r="Q26" t="s">
        <v>57</v>
      </c>
      <c r="R26" t="str">
        <f t="shared" si="4"/>
        <v>-</v>
      </c>
      <c r="S26" t="str">
        <f t="shared" si="4"/>
        <v>-</v>
      </c>
      <c r="T26" t="str">
        <f t="shared" si="4"/>
        <v>-</v>
      </c>
      <c r="U26" t="str">
        <f t="shared" si="4"/>
        <v>-</v>
      </c>
      <c r="V26" t="str">
        <f>"2023-08-17T00:00:00"</f>
        <v>2023-08-17T00:00:00</v>
      </c>
      <c r="X26" t="str">
        <f>"Айгөлек"</f>
        <v>Айгөлек</v>
      </c>
      <c r="Y26" t="s">
        <v>85</v>
      </c>
      <c r="AA26" t="s">
        <v>59</v>
      </c>
      <c r="AC26" t="s">
        <v>60</v>
      </c>
      <c r="AD26" t="s">
        <v>60</v>
      </c>
      <c r="AE26" t="s">
        <v>61</v>
      </c>
      <c r="AG26" t="s">
        <v>57</v>
      </c>
      <c r="AH26" t="s">
        <v>57</v>
      </c>
      <c r="AN26" t="s">
        <v>57</v>
      </c>
      <c r="AP26" t="s">
        <v>62</v>
      </c>
      <c r="AS26" t="s">
        <v>57</v>
      </c>
      <c r="AT26" t="s">
        <v>57</v>
      </c>
      <c r="AU26" t="s">
        <v>57</v>
      </c>
      <c r="AW26" t="s">
        <v>63</v>
      </c>
      <c r="AX26" t="s">
        <v>70</v>
      </c>
    </row>
    <row r="27" spans="1:50">
      <c r="A27">
        <v>25328228</v>
      </c>
      <c r="B27">
        <v>13307977</v>
      </c>
      <c r="C27" t="str">
        <f>"211113652588"</f>
        <v>211113652588</v>
      </c>
      <c r="D27" t="s">
        <v>139</v>
      </c>
      <c r="E27" t="s">
        <v>140</v>
      </c>
      <c r="F27" t="s">
        <v>141</v>
      </c>
      <c r="G27" s="1">
        <v>44513</v>
      </c>
      <c r="I27" t="s">
        <v>74</v>
      </c>
      <c r="J27" t="s">
        <v>55</v>
      </c>
      <c r="K27" t="s">
        <v>56</v>
      </c>
      <c r="Q27" t="s">
        <v>57</v>
      </c>
      <c r="R27" t="str">
        <f t="shared" si="4"/>
        <v>-</v>
      </c>
      <c r="S27" t="str">
        <f t="shared" si="4"/>
        <v>-</v>
      </c>
      <c r="T27" t="str">
        <f t="shared" si="4"/>
        <v>-</v>
      </c>
      <c r="U27" t="str">
        <f t="shared" si="4"/>
        <v>-</v>
      </c>
      <c r="V27" t="str">
        <f>"2023-08-17T00:00:00"</f>
        <v>2023-08-17T00:00:00</v>
      </c>
      <c r="X27" t="str">
        <f>"Айгөлек"</f>
        <v>Айгөлек</v>
      </c>
      <c r="Y27" t="s">
        <v>85</v>
      </c>
      <c r="AA27" t="s">
        <v>59</v>
      </c>
      <c r="AC27" t="s">
        <v>60</v>
      </c>
      <c r="AD27" t="s">
        <v>60</v>
      </c>
      <c r="AE27" t="s">
        <v>61</v>
      </c>
      <c r="AG27" t="s">
        <v>57</v>
      </c>
      <c r="AH27" t="s">
        <v>57</v>
      </c>
      <c r="AN27" t="s">
        <v>57</v>
      </c>
      <c r="AP27" t="s">
        <v>62</v>
      </c>
      <c r="AS27" t="s">
        <v>57</v>
      </c>
      <c r="AT27" t="s">
        <v>57</v>
      </c>
      <c r="AU27" t="s">
        <v>57</v>
      </c>
      <c r="AW27" t="s">
        <v>63</v>
      </c>
      <c r="AX27" t="s">
        <v>70</v>
      </c>
    </row>
    <row r="28" spans="1:50">
      <c r="A28">
        <v>25327754</v>
      </c>
      <c r="B28">
        <v>13307913</v>
      </c>
      <c r="C28" t="str">
        <f>"200713502116"</f>
        <v>200713502116</v>
      </c>
      <c r="D28" t="s">
        <v>142</v>
      </c>
      <c r="E28" t="s">
        <v>143</v>
      </c>
      <c r="F28" t="s">
        <v>115</v>
      </c>
      <c r="G28" s="1">
        <v>44025</v>
      </c>
      <c r="I28" t="s">
        <v>54</v>
      </c>
      <c r="J28" t="s">
        <v>55</v>
      </c>
      <c r="K28" t="s">
        <v>56</v>
      </c>
      <c r="Q28" t="s">
        <v>57</v>
      </c>
      <c r="R28" t="str">
        <f t="shared" si="4"/>
        <v>-</v>
      </c>
      <c r="S28" t="str">
        <f t="shared" si="4"/>
        <v>-</v>
      </c>
      <c r="T28" t="str">
        <f t="shared" si="4"/>
        <v>-</v>
      </c>
      <c r="U28" t="str">
        <f t="shared" si="4"/>
        <v>-</v>
      </c>
      <c r="V28" t="str">
        <f>"2023-08-17T00:00:00"</f>
        <v>2023-08-17T00:00:00</v>
      </c>
      <c r="X28" t="str">
        <f>"Солнышко"</f>
        <v>Солнышко</v>
      </c>
      <c r="Y28" t="s">
        <v>85</v>
      </c>
      <c r="AA28" t="s">
        <v>122</v>
      </c>
      <c r="AC28" t="s">
        <v>60</v>
      </c>
      <c r="AD28" t="s">
        <v>60</v>
      </c>
      <c r="AE28" t="s">
        <v>61</v>
      </c>
      <c r="AG28" t="s">
        <v>57</v>
      </c>
      <c r="AH28" t="s">
        <v>57</v>
      </c>
      <c r="AN28" t="s">
        <v>57</v>
      </c>
      <c r="AP28" t="s">
        <v>62</v>
      </c>
      <c r="AS28" t="s">
        <v>57</v>
      </c>
      <c r="AT28" t="s">
        <v>57</v>
      </c>
      <c r="AU28" t="s">
        <v>57</v>
      </c>
      <c r="AW28" t="s">
        <v>63</v>
      </c>
      <c r="AX28" t="s">
        <v>70</v>
      </c>
    </row>
    <row r="29" spans="1:50">
      <c r="A29">
        <v>25327029</v>
      </c>
      <c r="B29">
        <v>12325214</v>
      </c>
      <c r="C29" t="str">
        <f>"200226505242"</f>
        <v>200226505242</v>
      </c>
      <c r="D29" t="s">
        <v>144</v>
      </c>
      <c r="E29" t="s">
        <v>145</v>
      </c>
      <c r="F29" t="s">
        <v>146</v>
      </c>
      <c r="G29" s="1">
        <v>43887</v>
      </c>
      <c r="I29" t="s">
        <v>54</v>
      </c>
      <c r="J29" t="s">
        <v>55</v>
      </c>
      <c r="K29" t="s">
        <v>56</v>
      </c>
      <c r="Q29" t="s">
        <v>57</v>
      </c>
      <c r="R29" t="str">
        <f t="shared" si="4"/>
        <v>-</v>
      </c>
      <c r="S29" t="str">
        <f t="shared" si="4"/>
        <v>-</v>
      </c>
      <c r="T29" t="str">
        <f t="shared" si="4"/>
        <v>-</v>
      </c>
      <c r="U29" t="str">
        <f t="shared" si="4"/>
        <v>-</v>
      </c>
      <c r="V29" t="str">
        <f>"2023-08-17T00:00:00"</f>
        <v>2023-08-17T00:00:00</v>
      </c>
      <c r="X29" t="str">
        <f>"Қошақан"</f>
        <v>Қошақан</v>
      </c>
      <c r="Y29" t="s">
        <v>66</v>
      </c>
      <c r="AA29" t="s">
        <v>59</v>
      </c>
      <c r="AB29" t="s">
        <v>81</v>
      </c>
      <c r="AC29" t="s">
        <v>60</v>
      </c>
      <c r="AD29" t="s">
        <v>60</v>
      </c>
      <c r="AE29" t="s">
        <v>61</v>
      </c>
      <c r="AG29" t="s">
        <v>57</v>
      </c>
      <c r="AH29" t="s">
        <v>57</v>
      </c>
      <c r="AN29" t="s">
        <v>57</v>
      </c>
      <c r="AP29" t="s">
        <v>62</v>
      </c>
      <c r="AS29" t="s">
        <v>57</v>
      </c>
      <c r="AT29" t="s">
        <v>57</v>
      </c>
      <c r="AU29" t="s">
        <v>57</v>
      </c>
      <c r="AW29" t="s">
        <v>63</v>
      </c>
      <c r="AX29" t="s">
        <v>57</v>
      </c>
    </row>
    <row r="30" spans="1:50">
      <c r="A30">
        <v>24843930</v>
      </c>
      <c r="B30">
        <v>12673501</v>
      </c>
      <c r="C30" t="str">
        <f>"210406655314"</f>
        <v>210406655314</v>
      </c>
      <c r="D30" t="s">
        <v>147</v>
      </c>
      <c r="E30" t="s">
        <v>148</v>
      </c>
      <c r="G30" s="1">
        <v>44292</v>
      </c>
      <c r="I30" t="s">
        <v>74</v>
      </c>
      <c r="J30" t="s">
        <v>55</v>
      </c>
      <c r="K30" t="s">
        <v>56</v>
      </c>
      <c r="Q30" t="s">
        <v>57</v>
      </c>
      <c r="R30" t="str">
        <f t="shared" si="4"/>
        <v>-</v>
      </c>
      <c r="S30" t="str">
        <f t="shared" si="4"/>
        <v>-</v>
      </c>
      <c r="T30" t="str">
        <f t="shared" si="4"/>
        <v>-</v>
      </c>
      <c r="U30" t="str">
        <f t="shared" si="4"/>
        <v>-</v>
      </c>
      <c r="V30" t="str">
        <f>"2023-05-22T00:00:00"</f>
        <v>2023-05-22T00:00:00</v>
      </c>
      <c r="X30" t="str">
        <f>"Айгөлек"</f>
        <v>Айгөлек</v>
      </c>
      <c r="Y30" t="s">
        <v>85</v>
      </c>
      <c r="AA30" t="s">
        <v>59</v>
      </c>
      <c r="AC30" t="s">
        <v>60</v>
      </c>
      <c r="AD30" t="s">
        <v>60</v>
      </c>
      <c r="AE30" t="s">
        <v>61</v>
      </c>
      <c r="AG30" t="s">
        <v>57</v>
      </c>
      <c r="AH30" t="s">
        <v>57</v>
      </c>
      <c r="AN30" t="s">
        <v>57</v>
      </c>
      <c r="AP30" t="s">
        <v>62</v>
      </c>
      <c r="AS30" t="s">
        <v>57</v>
      </c>
      <c r="AT30" t="s">
        <v>57</v>
      </c>
      <c r="AU30" t="s">
        <v>57</v>
      </c>
      <c r="AW30" t="s">
        <v>63</v>
      </c>
      <c r="AX30" t="s">
        <v>57</v>
      </c>
    </row>
    <row r="31" spans="1:50">
      <c r="A31">
        <v>24695186</v>
      </c>
      <c r="B31">
        <v>13079666</v>
      </c>
      <c r="C31" t="str">
        <f>"210609555689"</f>
        <v>210609555689</v>
      </c>
      <c r="D31" t="s">
        <v>149</v>
      </c>
      <c r="E31" t="s">
        <v>129</v>
      </c>
      <c r="F31" t="s">
        <v>150</v>
      </c>
      <c r="G31" s="1">
        <v>44356</v>
      </c>
      <c r="I31" t="s">
        <v>54</v>
      </c>
      <c r="J31" t="s">
        <v>55</v>
      </c>
      <c r="K31" t="s">
        <v>56</v>
      </c>
      <c r="Q31" t="s">
        <v>57</v>
      </c>
      <c r="R31" t="str">
        <f t="shared" si="4"/>
        <v>-</v>
      </c>
      <c r="S31" t="str">
        <f t="shared" si="4"/>
        <v>-</v>
      </c>
      <c r="T31" t="str">
        <f t="shared" si="4"/>
        <v>-</v>
      </c>
      <c r="U31" t="str">
        <f t="shared" si="4"/>
        <v>-</v>
      </c>
      <c r="V31" t="str">
        <f>"2023-04-03T00:00:00"</f>
        <v>2023-04-03T00:00:00</v>
      </c>
      <c r="X31" t="str">
        <f>"Солнышко"</f>
        <v>Солнышко</v>
      </c>
      <c r="Y31" t="s">
        <v>85</v>
      </c>
      <c r="AA31" t="s">
        <v>122</v>
      </c>
      <c r="AC31" t="s">
        <v>60</v>
      </c>
      <c r="AD31" t="s">
        <v>60</v>
      </c>
      <c r="AE31" t="s">
        <v>61</v>
      </c>
      <c r="AG31" t="s">
        <v>57</v>
      </c>
      <c r="AH31" t="s">
        <v>57</v>
      </c>
      <c r="AN31" t="s">
        <v>57</v>
      </c>
      <c r="AP31" t="s">
        <v>62</v>
      </c>
      <c r="AS31" t="s">
        <v>57</v>
      </c>
      <c r="AT31" t="s">
        <v>57</v>
      </c>
      <c r="AU31" t="s">
        <v>57</v>
      </c>
      <c r="AW31" t="s">
        <v>63</v>
      </c>
      <c r="AX31" t="s">
        <v>57</v>
      </c>
    </row>
    <row r="32" spans="1:50">
      <c r="A32">
        <v>24587535</v>
      </c>
      <c r="B32">
        <v>13047054</v>
      </c>
      <c r="C32" t="str">
        <f>"210626652544"</f>
        <v>210626652544</v>
      </c>
      <c r="D32" t="s">
        <v>151</v>
      </c>
      <c r="E32" t="s">
        <v>152</v>
      </c>
      <c r="F32" t="s">
        <v>153</v>
      </c>
      <c r="G32" s="1">
        <v>44373</v>
      </c>
      <c r="I32" t="s">
        <v>74</v>
      </c>
      <c r="J32" t="s">
        <v>55</v>
      </c>
      <c r="K32" t="s">
        <v>56</v>
      </c>
      <c r="Q32" t="s">
        <v>57</v>
      </c>
      <c r="R32" t="str">
        <f t="shared" si="4"/>
        <v>-</v>
      </c>
      <c r="S32" t="str">
        <f t="shared" si="4"/>
        <v>-</v>
      </c>
      <c r="T32" t="str">
        <f t="shared" si="4"/>
        <v>-</v>
      </c>
      <c r="U32" t="str">
        <f t="shared" si="4"/>
        <v>-</v>
      </c>
      <c r="V32" t="str">
        <f>"2023-02-13T00:00:00"</f>
        <v>2023-02-13T00:00:00</v>
      </c>
      <c r="X32" t="str">
        <f>"Солнышко"</f>
        <v>Солнышко</v>
      </c>
      <c r="Y32" t="s">
        <v>85</v>
      </c>
      <c r="AA32" t="s">
        <v>122</v>
      </c>
      <c r="AC32" t="s">
        <v>60</v>
      </c>
      <c r="AD32" t="s">
        <v>60</v>
      </c>
      <c r="AE32" t="s">
        <v>61</v>
      </c>
      <c r="AG32" t="s">
        <v>57</v>
      </c>
      <c r="AH32" t="s">
        <v>57</v>
      </c>
      <c r="AN32" t="s">
        <v>57</v>
      </c>
      <c r="AP32" t="s">
        <v>62</v>
      </c>
      <c r="AS32" t="s">
        <v>57</v>
      </c>
      <c r="AT32" t="s">
        <v>57</v>
      </c>
      <c r="AU32" t="s">
        <v>57</v>
      </c>
      <c r="AW32" t="s">
        <v>63</v>
      </c>
      <c r="AX32" t="s">
        <v>57</v>
      </c>
    </row>
    <row r="33" spans="1:50">
      <c r="A33">
        <v>24519294</v>
      </c>
      <c r="B33">
        <v>13029150</v>
      </c>
      <c r="C33" t="str">
        <f>"210509654405"</f>
        <v>210509654405</v>
      </c>
      <c r="D33" t="s">
        <v>154</v>
      </c>
      <c r="E33" t="s">
        <v>155</v>
      </c>
      <c r="F33" t="s">
        <v>156</v>
      </c>
      <c r="G33" s="1">
        <v>44325</v>
      </c>
      <c r="I33" t="s">
        <v>74</v>
      </c>
      <c r="J33" t="s">
        <v>55</v>
      </c>
      <c r="K33" t="s">
        <v>56</v>
      </c>
      <c r="Q33" t="s">
        <v>57</v>
      </c>
      <c r="R33" t="str">
        <f t="shared" si="4"/>
        <v>-</v>
      </c>
      <c r="S33" t="str">
        <f t="shared" si="4"/>
        <v>-</v>
      </c>
      <c r="T33" t="str">
        <f t="shared" si="4"/>
        <v>-</v>
      </c>
      <c r="U33" t="str">
        <f t="shared" si="4"/>
        <v>-</v>
      </c>
      <c r="V33" t="str">
        <f>"2023-01-26T00:00:00"</f>
        <v>2023-01-26T00:00:00</v>
      </c>
      <c r="X33" t="str">
        <f>"Солнышко"</f>
        <v>Солнышко</v>
      </c>
      <c r="Y33" t="s">
        <v>85</v>
      </c>
      <c r="AA33" t="s">
        <v>122</v>
      </c>
      <c r="AC33" t="s">
        <v>60</v>
      </c>
      <c r="AD33" t="s">
        <v>60</v>
      </c>
      <c r="AE33" t="s">
        <v>61</v>
      </c>
      <c r="AG33" t="s">
        <v>57</v>
      </c>
      <c r="AH33" t="s">
        <v>57</v>
      </c>
      <c r="AN33" t="s">
        <v>57</v>
      </c>
      <c r="AP33" t="s">
        <v>62</v>
      </c>
      <c r="AS33" t="s">
        <v>57</v>
      </c>
      <c r="AT33" t="s">
        <v>57</v>
      </c>
      <c r="AU33" t="s">
        <v>57</v>
      </c>
      <c r="AW33" t="s">
        <v>63</v>
      </c>
      <c r="AX33" t="s">
        <v>57</v>
      </c>
    </row>
    <row r="34" spans="1:50">
      <c r="A34">
        <v>24500380</v>
      </c>
      <c r="B34">
        <v>12709192</v>
      </c>
      <c r="C34" t="str">
        <f>"210103552673"</f>
        <v>210103552673</v>
      </c>
      <c r="D34" t="s">
        <v>157</v>
      </c>
      <c r="E34" t="s">
        <v>158</v>
      </c>
      <c r="F34" t="s">
        <v>159</v>
      </c>
      <c r="G34" s="1">
        <v>44199</v>
      </c>
      <c r="I34" t="s">
        <v>54</v>
      </c>
      <c r="J34" t="s">
        <v>55</v>
      </c>
      <c r="K34" t="s">
        <v>56</v>
      </c>
      <c r="R34" t="str">
        <f t="shared" si="4"/>
        <v>-</v>
      </c>
      <c r="S34" t="str">
        <f t="shared" si="4"/>
        <v>-</v>
      </c>
      <c r="T34" t="str">
        <f t="shared" si="4"/>
        <v>-</v>
      </c>
      <c r="U34" t="str">
        <f t="shared" si="4"/>
        <v>-</v>
      </c>
      <c r="V34" t="str">
        <f>"2023-01-20T00:00:00"</f>
        <v>2023-01-20T00:00:00</v>
      </c>
      <c r="X34" t="str">
        <f>"Солнышко"</f>
        <v>Солнышко</v>
      </c>
      <c r="Y34" t="s">
        <v>85</v>
      </c>
      <c r="AA34" t="s">
        <v>122</v>
      </c>
      <c r="AC34" t="s">
        <v>60</v>
      </c>
      <c r="AD34" t="s">
        <v>60</v>
      </c>
      <c r="AE34" t="s">
        <v>61</v>
      </c>
      <c r="AG34" t="s">
        <v>57</v>
      </c>
      <c r="AH34" t="s">
        <v>57</v>
      </c>
      <c r="AN34" t="s">
        <v>57</v>
      </c>
      <c r="AP34" t="s">
        <v>62</v>
      </c>
      <c r="AS34" t="s">
        <v>57</v>
      </c>
      <c r="AT34" t="s">
        <v>57</v>
      </c>
      <c r="AU34" t="s">
        <v>57</v>
      </c>
      <c r="AW34" t="s">
        <v>63</v>
      </c>
      <c r="AX34" t="s">
        <v>70</v>
      </c>
    </row>
    <row r="35" spans="1:50">
      <c r="A35">
        <v>24482276</v>
      </c>
      <c r="B35">
        <v>11712708</v>
      </c>
      <c r="C35" t="str">
        <f>"200110505846"</f>
        <v>200110505846</v>
      </c>
      <c r="D35" t="s">
        <v>157</v>
      </c>
      <c r="E35" t="s">
        <v>160</v>
      </c>
      <c r="F35" t="s">
        <v>159</v>
      </c>
      <c r="G35" s="1">
        <v>43840</v>
      </c>
      <c r="I35" t="s">
        <v>54</v>
      </c>
      <c r="J35" t="s">
        <v>55</v>
      </c>
      <c r="K35" t="s">
        <v>56</v>
      </c>
      <c r="Q35" t="s">
        <v>57</v>
      </c>
      <c r="R35" t="str">
        <f>"КАЗАХСТАН, Кокпектинский, Кокпекты, 5"</f>
        <v>КАЗАХСТАН, Кокпектинский, Кокпекты, 5</v>
      </c>
      <c r="S35" t="str">
        <f>"ҚАЗАҚСТАН, Кокпектинский, Кокпекты, 5"</f>
        <v>ҚАЗАҚСТАН, Кокпектинский, Кокпекты, 5</v>
      </c>
      <c r="T35" t="str">
        <f>"Кокпектинский, Кокпекты, 5"</f>
        <v>Кокпектинский, Кокпекты, 5</v>
      </c>
      <c r="U35" t="str">
        <f>"Кокпектинский, Кокпекты, 5"</f>
        <v>Кокпектинский, Кокпекты, 5</v>
      </c>
      <c r="V35" t="str">
        <f>"2023-01-16T00:00:00"</f>
        <v>2023-01-16T00:00:00</v>
      </c>
      <c r="X35" t="str">
        <f>"Балдәурен"</f>
        <v>Балдәурен</v>
      </c>
      <c r="Y35" t="s">
        <v>66</v>
      </c>
      <c r="AA35" t="s">
        <v>59</v>
      </c>
      <c r="AC35" t="s">
        <v>60</v>
      </c>
      <c r="AD35" t="s">
        <v>60</v>
      </c>
      <c r="AE35" t="s">
        <v>61</v>
      </c>
      <c r="AG35" t="s">
        <v>57</v>
      </c>
      <c r="AH35" t="s">
        <v>57</v>
      </c>
      <c r="AN35" t="s">
        <v>57</v>
      </c>
      <c r="AP35" t="s">
        <v>62</v>
      </c>
      <c r="AS35" t="s">
        <v>57</v>
      </c>
      <c r="AT35" t="s">
        <v>57</v>
      </c>
      <c r="AU35" t="s">
        <v>57</v>
      </c>
      <c r="AW35" t="s">
        <v>63</v>
      </c>
      <c r="AX35" t="s">
        <v>70</v>
      </c>
    </row>
    <row r="36" spans="1:50">
      <c r="A36">
        <v>24358289</v>
      </c>
      <c r="B36">
        <v>12704888</v>
      </c>
      <c r="C36" t="str">
        <f>"200916552611"</f>
        <v>200916552611</v>
      </c>
      <c r="D36" t="s">
        <v>161</v>
      </c>
      <c r="E36" t="s">
        <v>162</v>
      </c>
      <c r="F36" t="s">
        <v>163</v>
      </c>
      <c r="G36" s="1">
        <v>44090</v>
      </c>
      <c r="I36" t="s">
        <v>54</v>
      </c>
      <c r="J36" t="s">
        <v>55</v>
      </c>
      <c r="K36" t="s">
        <v>56</v>
      </c>
      <c r="Q36" t="s">
        <v>57</v>
      </c>
      <c r="R36" t="str">
        <f t="shared" ref="R36:U38" si="5">"-"</f>
        <v>-</v>
      </c>
      <c r="S36" t="str">
        <f t="shared" si="5"/>
        <v>-</v>
      </c>
      <c r="T36" t="str">
        <f t="shared" si="5"/>
        <v>-</v>
      </c>
      <c r="U36" t="str">
        <f t="shared" si="5"/>
        <v>-</v>
      </c>
      <c r="V36" t="str">
        <f>"2022-11-18T00:00:00"</f>
        <v>2022-11-18T00:00:00</v>
      </c>
      <c r="X36" t="str">
        <f>"Қошақан"</f>
        <v>Қошақан</v>
      </c>
      <c r="Y36" t="s">
        <v>66</v>
      </c>
      <c r="AA36" t="s">
        <v>59</v>
      </c>
      <c r="AB36" t="s">
        <v>81</v>
      </c>
      <c r="AC36" t="s">
        <v>60</v>
      </c>
      <c r="AD36" t="s">
        <v>60</v>
      </c>
      <c r="AE36" t="s">
        <v>61</v>
      </c>
      <c r="AG36" t="s">
        <v>57</v>
      </c>
      <c r="AH36" t="s">
        <v>57</v>
      </c>
      <c r="AN36" t="s">
        <v>57</v>
      </c>
      <c r="AP36" t="s">
        <v>62</v>
      </c>
      <c r="AS36" t="s">
        <v>57</v>
      </c>
      <c r="AT36" t="s">
        <v>57</v>
      </c>
      <c r="AU36" t="s">
        <v>57</v>
      </c>
      <c r="AW36" t="s">
        <v>63</v>
      </c>
      <c r="AX36" t="s">
        <v>70</v>
      </c>
    </row>
    <row r="37" spans="1:50">
      <c r="A37">
        <v>24339021</v>
      </c>
      <c r="B37">
        <v>12572576</v>
      </c>
      <c r="C37" t="str">
        <f>"200821602020"</f>
        <v>200821602020</v>
      </c>
      <c r="D37" t="s">
        <v>164</v>
      </c>
      <c r="E37" t="s">
        <v>165</v>
      </c>
      <c r="F37" t="s">
        <v>166</v>
      </c>
      <c r="G37" s="1">
        <v>44064</v>
      </c>
      <c r="I37" t="s">
        <v>74</v>
      </c>
      <c r="J37" t="s">
        <v>55</v>
      </c>
      <c r="K37" t="s">
        <v>56</v>
      </c>
      <c r="Q37" t="s">
        <v>57</v>
      </c>
      <c r="R37" t="str">
        <f t="shared" si="5"/>
        <v>-</v>
      </c>
      <c r="S37" t="str">
        <f t="shared" si="5"/>
        <v>-</v>
      </c>
      <c r="T37" t="str">
        <f t="shared" si="5"/>
        <v>-</v>
      </c>
      <c r="U37" t="str">
        <f t="shared" si="5"/>
        <v>-</v>
      </c>
      <c r="V37" t="str">
        <f>"2022-11-22T00:00:00"</f>
        <v>2022-11-22T00:00:00</v>
      </c>
      <c r="X37" t="str">
        <f>"Солнышко"</f>
        <v>Солнышко</v>
      </c>
      <c r="Y37" t="s">
        <v>85</v>
      </c>
      <c r="AA37" t="s">
        <v>122</v>
      </c>
      <c r="AC37" t="s">
        <v>60</v>
      </c>
      <c r="AD37" t="s">
        <v>60</v>
      </c>
      <c r="AE37" t="s">
        <v>61</v>
      </c>
      <c r="AG37" t="s">
        <v>57</v>
      </c>
      <c r="AH37" t="s">
        <v>57</v>
      </c>
      <c r="AN37" t="s">
        <v>57</v>
      </c>
      <c r="AP37" t="s">
        <v>62</v>
      </c>
      <c r="AS37" t="s">
        <v>57</v>
      </c>
      <c r="AT37" t="s">
        <v>57</v>
      </c>
      <c r="AU37" t="s">
        <v>57</v>
      </c>
      <c r="AW37" t="s">
        <v>63</v>
      </c>
      <c r="AX37" t="s">
        <v>70</v>
      </c>
    </row>
    <row r="38" spans="1:50">
      <c r="A38">
        <v>24193862</v>
      </c>
      <c r="B38">
        <v>12947844</v>
      </c>
      <c r="C38" t="str">
        <f>"200212603276"</f>
        <v>200212603276</v>
      </c>
      <c r="D38" t="s">
        <v>167</v>
      </c>
      <c r="E38" t="s">
        <v>168</v>
      </c>
      <c r="F38" t="s">
        <v>169</v>
      </c>
      <c r="G38" s="1">
        <v>43873</v>
      </c>
      <c r="I38" t="s">
        <v>74</v>
      </c>
      <c r="J38" t="s">
        <v>55</v>
      </c>
      <c r="K38" t="s">
        <v>56</v>
      </c>
      <c r="Q38" t="s">
        <v>57</v>
      </c>
      <c r="R38" t="str">
        <f t="shared" si="5"/>
        <v>-</v>
      </c>
      <c r="S38" t="str">
        <f t="shared" si="5"/>
        <v>-</v>
      </c>
      <c r="T38" t="str">
        <f t="shared" si="5"/>
        <v>-</v>
      </c>
      <c r="U38" t="str">
        <f t="shared" si="5"/>
        <v>-</v>
      </c>
      <c r="V38" t="str">
        <f>"2022-10-27T00:00:00"</f>
        <v>2022-10-27T00:00:00</v>
      </c>
      <c r="X38" t="str">
        <f>"Солнышко"</f>
        <v>Солнышко</v>
      </c>
      <c r="Y38" t="s">
        <v>85</v>
      </c>
      <c r="AA38" t="s">
        <v>122</v>
      </c>
      <c r="AC38" t="s">
        <v>60</v>
      </c>
      <c r="AD38" t="s">
        <v>60</v>
      </c>
      <c r="AE38" t="s">
        <v>61</v>
      </c>
      <c r="AG38" t="s">
        <v>57</v>
      </c>
      <c r="AH38" t="s">
        <v>57</v>
      </c>
      <c r="AN38" t="s">
        <v>57</v>
      </c>
      <c r="AP38" t="s">
        <v>62</v>
      </c>
      <c r="AS38" t="s">
        <v>57</v>
      </c>
      <c r="AT38" t="s">
        <v>57</v>
      </c>
      <c r="AU38" t="s">
        <v>57</v>
      </c>
      <c r="AW38" t="s">
        <v>63</v>
      </c>
      <c r="AX38" t="s">
        <v>70</v>
      </c>
    </row>
    <row r="39" spans="1:50">
      <c r="A39">
        <v>24112851</v>
      </c>
      <c r="B39">
        <v>12572250</v>
      </c>
      <c r="C39" t="str">
        <f>"191106603852"</f>
        <v>191106603852</v>
      </c>
      <c r="D39" t="s">
        <v>170</v>
      </c>
      <c r="E39" t="s">
        <v>171</v>
      </c>
      <c r="F39" t="s">
        <v>172</v>
      </c>
      <c r="G39" s="1">
        <v>43775</v>
      </c>
      <c r="I39" t="s">
        <v>74</v>
      </c>
      <c r="J39" t="s">
        <v>55</v>
      </c>
      <c r="K39" t="s">
        <v>56</v>
      </c>
      <c r="Q39" t="s">
        <v>57</v>
      </c>
      <c r="R39" t="str">
        <f>"КАЗАХСТАН, Жангиз-тобе, Шуак, 2, 26"</f>
        <v>КАЗАХСТАН, Жангиз-тобе, Шуак, 2, 26</v>
      </c>
      <c r="S39" t="str">
        <f>"ҚАЗАҚСТАН, Жангиз-тобе, Шуак, 2, 26"</f>
        <v>ҚАЗАҚСТАН, Жангиз-тобе, Шуак, 2, 26</v>
      </c>
      <c r="T39" t="str">
        <f>"Жангиз-тобе, Шуак, 2, 26"</f>
        <v>Жангиз-тобе, Шуак, 2, 26</v>
      </c>
      <c r="U39" t="str">
        <f>"Жангиз-тобе, Шуак, 2, 26"</f>
        <v>Жангиз-тобе, Шуак, 2, 26</v>
      </c>
      <c r="V39" t="str">
        <f>"2022-10-07T00:00:00"</f>
        <v>2022-10-07T00:00:00</v>
      </c>
      <c r="X39" t="str">
        <f>"Қошақан"</f>
        <v>Қошақан</v>
      </c>
      <c r="Y39" t="s">
        <v>66</v>
      </c>
      <c r="AA39" t="s">
        <v>59</v>
      </c>
      <c r="AC39" t="s">
        <v>60</v>
      </c>
      <c r="AD39" t="s">
        <v>60</v>
      </c>
      <c r="AE39" t="s">
        <v>61</v>
      </c>
      <c r="AG39" t="s">
        <v>57</v>
      </c>
      <c r="AH39" t="s">
        <v>57</v>
      </c>
      <c r="AN39" t="s">
        <v>57</v>
      </c>
      <c r="AP39" t="s">
        <v>62</v>
      </c>
      <c r="AS39" t="s">
        <v>57</v>
      </c>
      <c r="AT39" t="s">
        <v>57</v>
      </c>
      <c r="AU39" t="s">
        <v>57</v>
      </c>
      <c r="AW39" t="s">
        <v>63</v>
      </c>
      <c r="AX39" t="s">
        <v>70</v>
      </c>
    </row>
    <row r="40" spans="1:50">
      <c r="A40">
        <v>22983723</v>
      </c>
      <c r="B40">
        <v>11702646</v>
      </c>
      <c r="C40" t="str">
        <f>"181210500394"</f>
        <v>181210500394</v>
      </c>
      <c r="D40" t="s">
        <v>173</v>
      </c>
      <c r="E40" t="s">
        <v>174</v>
      </c>
      <c r="F40" t="s">
        <v>175</v>
      </c>
      <c r="G40" s="1">
        <v>43444</v>
      </c>
      <c r="I40" t="s">
        <v>54</v>
      </c>
      <c r="J40" t="s">
        <v>55</v>
      </c>
      <c r="K40" t="s">
        <v>56</v>
      </c>
      <c r="Q40" t="s">
        <v>57</v>
      </c>
      <c r="R40" t="str">
        <f>"КАЗАХСТАН, В-КАЗАХСТАНСКАЯ, КОКПЕКТИНСКИЙ Р-Н, Кокпектинский, Кокпекты, 28"</f>
        <v>КАЗАХСТАН, В-КАЗАХСТАНСКАЯ, КОКПЕКТИНСКИЙ Р-Н, Кокпектинский, Кокпекты, 28</v>
      </c>
      <c r="S40" t="str">
        <f>"ҚАЗАҚСТАН, ШЫҒ-ҚАЗАҚСТАН, КӨКПЕКТІ АУДАНЫ, Кокпектинский, Кокпекты, 28"</f>
        <v>ҚАЗАҚСТАН, ШЫҒ-ҚАЗАҚСТАН, КӨКПЕКТІ АУДАНЫ, Кокпектинский, Кокпекты, 28</v>
      </c>
      <c r="T40" t="str">
        <f>"Кокпектинский, Кокпекты, 28"</f>
        <v>Кокпектинский, Кокпекты, 28</v>
      </c>
      <c r="U40" t="str">
        <f>"Кокпектинский, Кокпекты, 28"</f>
        <v>Кокпектинский, Кокпекты, 28</v>
      </c>
      <c r="V40" t="str">
        <f>"2022-08-31T00:00:00"</f>
        <v>2022-08-31T00:00:00</v>
      </c>
      <c r="X40" t="str">
        <f>"Ромашка"</f>
        <v>Ромашка</v>
      </c>
      <c r="Y40" t="s">
        <v>58</v>
      </c>
      <c r="AA40" t="s">
        <v>122</v>
      </c>
      <c r="AC40" t="s">
        <v>60</v>
      </c>
      <c r="AD40" t="s">
        <v>60</v>
      </c>
      <c r="AE40" t="s">
        <v>61</v>
      </c>
      <c r="AG40" t="s">
        <v>57</v>
      </c>
      <c r="AH40" t="s">
        <v>57</v>
      </c>
      <c r="AN40" t="s">
        <v>57</v>
      </c>
      <c r="AP40" t="s">
        <v>62</v>
      </c>
      <c r="AS40" t="s">
        <v>57</v>
      </c>
      <c r="AT40" t="s">
        <v>57</v>
      </c>
      <c r="AU40" t="s">
        <v>70</v>
      </c>
      <c r="AV40" t="s">
        <v>89</v>
      </c>
      <c r="AW40" t="s">
        <v>63</v>
      </c>
      <c r="AX40" t="s">
        <v>70</v>
      </c>
    </row>
    <row r="41" spans="1:50">
      <c r="A41">
        <v>22983139</v>
      </c>
      <c r="B41">
        <v>12697996</v>
      </c>
      <c r="C41" t="str">
        <f>"200707600103"</f>
        <v>200707600103</v>
      </c>
      <c r="D41" t="s">
        <v>173</v>
      </c>
      <c r="E41" t="s">
        <v>87</v>
      </c>
      <c r="F41" t="s">
        <v>176</v>
      </c>
      <c r="G41" s="1">
        <v>44019</v>
      </c>
      <c r="I41" t="s">
        <v>74</v>
      </c>
      <c r="J41" t="s">
        <v>55</v>
      </c>
      <c r="K41" t="s">
        <v>56</v>
      </c>
      <c r="Q41" t="s">
        <v>57</v>
      </c>
      <c r="R41" t="str">
        <f>"-"</f>
        <v>-</v>
      </c>
      <c r="S41" t="str">
        <f>"-"</f>
        <v>-</v>
      </c>
      <c r="T41" t="str">
        <f>"-"</f>
        <v>-</v>
      </c>
      <c r="U41" t="str">
        <f>"-"</f>
        <v>-</v>
      </c>
      <c r="V41" t="str">
        <f>"2022-08-31T00:00:00"</f>
        <v>2022-08-31T00:00:00</v>
      </c>
      <c r="X41" t="str">
        <f>"Солнышко"</f>
        <v>Солнышко</v>
      </c>
      <c r="Y41" t="s">
        <v>85</v>
      </c>
      <c r="AA41" t="s">
        <v>122</v>
      </c>
      <c r="AC41" t="s">
        <v>60</v>
      </c>
      <c r="AD41" t="s">
        <v>60</v>
      </c>
      <c r="AE41" t="s">
        <v>61</v>
      </c>
      <c r="AG41" t="s">
        <v>57</v>
      </c>
      <c r="AH41" t="s">
        <v>57</v>
      </c>
      <c r="AN41" t="s">
        <v>57</v>
      </c>
      <c r="AP41" t="s">
        <v>62</v>
      </c>
      <c r="AS41" t="s">
        <v>57</v>
      </c>
      <c r="AT41" t="s">
        <v>57</v>
      </c>
      <c r="AU41" t="s">
        <v>70</v>
      </c>
      <c r="AV41" t="s">
        <v>89</v>
      </c>
      <c r="AW41" t="s">
        <v>63</v>
      </c>
      <c r="AX41" t="s">
        <v>70</v>
      </c>
    </row>
    <row r="42" spans="1:50">
      <c r="A42">
        <v>22848593</v>
      </c>
      <c r="B42">
        <v>12680461</v>
      </c>
      <c r="C42" t="str">
        <f>"190309504250"</f>
        <v>190309504250</v>
      </c>
      <c r="D42" t="s">
        <v>177</v>
      </c>
      <c r="E42" t="s">
        <v>178</v>
      </c>
      <c r="F42" t="s">
        <v>179</v>
      </c>
      <c r="G42" s="1">
        <v>43533</v>
      </c>
      <c r="I42" t="s">
        <v>54</v>
      </c>
      <c r="J42" t="s">
        <v>55</v>
      </c>
      <c r="K42" t="s">
        <v>121</v>
      </c>
      <c r="Q42" t="s">
        <v>57</v>
      </c>
      <c r="R42" t="str">
        <f>"КАЗАХСТАН, В-КАЗАХСТАНСКАЯ, КОКПЕКТИНСКИЙ Р-Н, Кокпектинский, Кокпекты, 10, 2"</f>
        <v>КАЗАХСТАН, В-КАЗАХСТАНСКАЯ, КОКПЕКТИНСКИЙ Р-Н, Кокпектинский, Кокпекты, 10, 2</v>
      </c>
      <c r="S42" t="str">
        <f>"ҚАЗАҚСТАН, ШЫҒ-ҚАЗАҚСТАН, КӨКПЕКТІ АУДАНЫ, Кокпектинский, Кокпекты, 10, 2"</f>
        <v>ҚАЗАҚСТАН, ШЫҒ-ҚАЗАҚСТАН, КӨКПЕКТІ АУДАНЫ, Кокпектинский, Кокпекты, 10, 2</v>
      </c>
      <c r="T42" t="str">
        <f>"Кокпектинский, Кокпекты, 10, 2"</f>
        <v>Кокпектинский, Кокпекты, 10, 2</v>
      </c>
      <c r="U42" t="str">
        <f>"Кокпектинский, Кокпекты, 10, 2"</f>
        <v>Кокпектинский, Кокпекты, 10, 2</v>
      </c>
      <c r="V42" t="str">
        <f>"2022-08-26T00:00:00"</f>
        <v>2022-08-26T00:00:00</v>
      </c>
      <c r="X42" t="str">
        <f>"Ромашка"</f>
        <v>Ромашка</v>
      </c>
      <c r="Y42" t="s">
        <v>58</v>
      </c>
      <c r="AA42" t="s">
        <v>122</v>
      </c>
      <c r="AC42" t="s">
        <v>60</v>
      </c>
      <c r="AD42" t="s">
        <v>60</v>
      </c>
      <c r="AE42" t="s">
        <v>61</v>
      </c>
      <c r="AG42" t="s">
        <v>57</v>
      </c>
      <c r="AH42" t="s">
        <v>57</v>
      </c>
      <c r="AN42" t="s">
        <v>57</v>
      </c>
      <c r="AP42" t="s">
        <v>62</v>
      </c>
      <c r="AS42" t="s">
        <v>57</v>
      </c>
      <c r="AT42" t="s">
        <v>57</v>
      </c>
      <c r="AU42" t="s">
        <v>57</v>
      </c>
      <c r="AW42" t="s">
        <v>63</v>
      </c>
      <c r="AX42" t="s">
        <v>70</v>
      </c>
    </row>
    <row r="43" spans="1:50">
      <c r="A43">
        <v>22831202</v>
      </c>
      <c r="B43">
        <v>11702688</v>
      </c>
      <c r="C43" t="str">
        <f>"191022505529"</f>
        <v>191022505529</v>
      </c>
      <c r="D43" t="s">
        <v>180</v>
      </c>
      <c r="E43" t="s">
        <v>174</v>
      </c>
      <c r="F43" t="s">
        <v>115</v>
      </c>
      <c r="G43" s="1">
        <v>43760</v>
      </c>
      <c r="I43" t="s">
        <v>54</v>
      </c>
      <c r="J43" t="s">
        <v>55</v>
      </c>
      <c r="K43" t="s">
        <v>56</v>
      </c>
      <c r="Q43" t="s">
        <v>57</v>
      </c>
      <c r="R43" t="str">
        <f>"КАЗАХСТАН, Кокпектинский, Кокпекты, 1, 2"</f>
        <v>КАЗАХСТАН, Кокпектинский, Кокпекты, 1, 2</v>
      </c>
      <c r="S43" t="str">
        <f>"ҚАЗАҚСТАН, Кокпектинский, Кокпекты, 1, 2"</f>
        <v>ҚАЗАҚСТАН, Кокпектинский, Кокпекты, 1, 2</v>
      </c>
      <c r="T43" t="str">
        <f>"Кокпектинский, Кокпекты, 1, 2"</f>
        <v>Кокпектинский, Кокпекты, 1, 2</v>
      </c>
      <c r="U43" t="str">
        <f>"Кокпектинский, Кокпекты, 1, 2"</f>
        <v>Кокпектинский, Кокпекты, 1, 2</v>
      </c>
      <c r="V43" t="str">
        <f>"2022-08-25T00:00:00"</f>
        <v>2022-08-25T00:00:00</v>
      </c>
      <c r="X43" t="str">
        <f>"Қошақан"</f>
        <v>Қошақан</v>
      </c>
      <c r="Y43" t="s">
        <v>66</v>
      </c>
      <c r="AA43" t="s">
        <v>59</v>
      </c>
      <c r="AC43" t="s">
        <v>60</v>
      </c>
      <c r="AD43" t="s">
        <v>60</v>
      </c>
      <c r="AE43" t="s">
        <v>61</v>
      </c>
      <c r="AG43" t="s">
        <v>57</v>
      </c>
      <c r="AH43" t="s">
        <v>57</v>
      </c>
      <c r="AN43" t="s">
        <v>57</v>
      </c>
      <c r="AP43" t="s">
        <v>62</v>
      </c>
      <c r="AS43" t="s">
        <v>57</v>
      </c>
      <c r="AT43" t="s">
        <v>57</v>
      </c>
      <c r="AU43" t="s">
        <v>57</v>
      </c>
      <c r="AW43" t="s">
        <v>63</v>
      </c>
      <c r="AX43" t="s">
        <v>57</v>
      </c>
    </row>
    <row r="44" spans="1:50">
      <c r="A44">
        <v>22829860</v>
      </c>
      <c r="B44">
        <v>12677114</v>
      </c>
      <c r="C44" t="str">
        <f>"201006555512"</f>
        <v>201006555512</v>
      </c>
      <c r="D44" t="s">
        <v>181</v>
      </c>
      <c r="E44" t="s">
        <v>182</v>
      </c>
      <c r="F44" t="s">
        <v>183</v>
      </c>
      <c r="G44" s="1">
        <v>44110</v>
      </c>
      <c r="I44" t="s">
        <v>54</v>
      </c>
      <c r="J44" t="s">
        <v>55</v>
      </c>
      <c r="K44" t="s">
        <v>56</v>
      </c>
      <c r="Q44" t="s">
        <v>57</v>
      </c>
      <c r="R44" t="str">
        <f>"-"</f>
        <v>-</v>
      </c>
      <c r="S44" t="str">
        <f>"-"</f>
        <v>-</v>
      </c>
      <c r="T44" t="str">
        <f>"-"</f>
        <v>-</v>
      </c>
      <c r="U44" t="str">
        <f>"-"</f>
        <v>-</v>
      </c>
      <c r="V44" t="str">
        <f>"2022-08-25T00:00:00"</f>
        <v>2022-08-25T00:00:00</v>
      </c>
      <c r="X44" t="str">
        <f>"Балдәурен"</f>
        <v>Балдәурен</v>
      </c>
      <c r="Y44" t="s">
        <v>66</v>
      </c>
      <c r="AA44" t="s">
        <v>59</v>
      </c>
      <c r="AC44" t="s">
        <v>60</v>
      </c>
      <c r="AD44" t="s">
        <v>60</v>
      </c>
      <c r="AE44" t="s">
        <v>61</v>
      </c>
      <c r="AG44" t="s">
        <v>57</v>
      </c>
      <c r="AH44" t="s">
        <v>57</v>
      </c>
      <c r="AN44" t="s">
        <v>57</v>
      </c>
      <c r="AP44" t="s">
        <v>62</v>
      </c>
      <c r="AS44" t="s">
        <v>57</v>
      </c>
      <c r="AT44" t="s">
        <v>57</v>
      </c>
      <c r="AU44" t="s">
        <v>57</v>
      </c>
      <c r="AW44" t="s">
        <v>63</v>
      </c>
      <c r="AX44" t="s">
        <v>57</v>
      </c>
    </row>
    <row r="45" spans="1:50">
      <c r="A45">
        <v>22796989</v>
      </c>
      <c r="B45">
        <v>11702058</v>
      </c>
      <c r="C45" t="str">
        <f>"190605604048"</f>
        <v>190605604048</v>
      </c>
      <c r="D45" t="s">
        <v>184</v>
      </c>
      <c r="E45" t="s">
        <v>185</v>
      </c>
      <c r="F45" t="s">
        <v>186</v>
      </c>
      <c r="G45" s="1">
        <v>43621</v>
      </c>
      <c r="I45" t="s">
        <v>74</v>
      </c>
      <c r="J45" t="s">
        <v>55</v>
      </c>
      <c r="K45" t="s">
        <v>56</v>
      </c>
      <c r="Q45" t="s">
        <v>57</v>
      </c>
      <c r="R45" t="str">
        <f>"КАЗАХСТАН, В-КАЗАХСТАНСКАЯ, КОКПЕКТИНСКИЙ Р-Н, Кокпектинский, Кокпекты, 3, 5"</f>
        <v>КАЗАХСТАН, В-КАЗАХСТАНСКАЯ, КОКПЕКТИНСКИЙ Р-Н, Кокпектинский, Кокпекты, 3, 5</v>
      </c>
      <c r="S45" t="str">
        <f>"ҚАЗАҚСТАН, ШЫҒ-ҚАЗАҚСТАН, КӨКПЕКТІ АУДАНЫ, Кокпектинский, Кокпекты, 3, 5"</f>
        <v>ҚАЗАҚСТАН, ШЫҒ-ҚАЗАҚСТАН, КӨКПЕКТІ АУДАНЫ, Кокпектинский, Кокпекты, 3, 5</v>
      </c>
      <c r="T45" t="str">
        <f>"Кокпектинский, Кокпекты, 3, 5"</f>
        <v>Кокпектинский, Кокпекты, 3, 5</v>
      </c>
      <c r="U45" t="str">
        <f>"Кокпектинский, Кокпекты, 3, 5"</f>
        <v>Кокпектинский, Кокпекты, 3, 5</v>
      </c>
      <c r="V45" t="str">
        <f>"2022-08-24T00:00:00"</f>
        <v>2022-08-24T00:00:00</v>
      </c>
      <c r="X45" t="str">
        <f>"Ромашка"</f>
        <v>Ромашка</v>
      </c>
      <c r="Y45" t="s">
        <v>58</v>
      </c>
      <c r="AA45" t="s">
        <v>122</v>
      </c>
      <c r="AC45" t="s">
        <v>60</v>
      </c>
      <c r="AD45" t="s">
        <v>60</v>
      </c>
      <c r="AE45" t="s">
        <v>61</v>
      </c>
      <c r="AG45" t="s">
        <v>57</v>
      </c>
      <c r="AH45" t="s">
        <v>57</v>
      </c>
      <c r="AN45" t="s">
        <v>57</v>
      </c>
      <c r="AP45" t="s">
        <v>62</v>
      </c>
      <c r="AS45" t="s">
        <v>57</v>
      </c>
      <c r="AT45" t="s">
        <v>57</v>
      </c>
      <c r="AU45" t="s">
        <v>70</v>
      </c>
      <c r="AV45" t="s">
        <v>89</v>
      </c>
      <c r="AW45" t="s">
        <v>63</v>
      </c>
      <c r="AX45" t="s">
        <v>70</v>
      </c>
    </row>
    <row r="46" spans="1:50">
      <c r="A46">
        <v>22796922</v>
      </c>
      <c r="B46">
        <v>12571855</v>
      </c>
      <c r="C46" t="str">
        <f>"210130651242"</f>
        <v>210130651242</v>
      </c>
      <c r="D46" t="s">
        <v>187</v>
      </c>
      <c r="E46" t="s">
        <v>185</v>
      </c>
      <c r="F46" t="s">
        <v>188</v>
      </c>
      <c r="G46" s="1">
        <v>44226</v>
      </c>
      <c r="I46" t="s">
        <v>74</v>
      </c>
      <c r="J46" t="s">
        <v>55</v>
      </c>
      <c r="K46" t="s">
        <v>189</v>
      </c>
      <c r="Q46" t="s">
        <v>57</v>
      </c>
      <c r="R46" t="str">
        <f>"-"</f>
        <v>-</v>
      </c>
      <c r="S46" t="str">
        <f>"-"</f>
        <v>-</v>
      </c>
      <c r="T46" t="str">
        <f>"-"</f>
        <v>-</v>
      </c>
      <c r="U46" t="str">
        <f>"-"</f>
        <v>-</v>
      </c>
      <c r="V46" t="str">
        <f>"2022-08-15T00:00:00"</f>
        <v>2022-08-15T00:00:00</v>
      </c>
      <c r="X46" t="str">
        <f>"Солнышко"</f>
        <v>Солнышко</v>
      </c>
      <c r="Y46" t="s">
        <v>85</v>
      </c>
      <c r="AA46" t="s">
        <v>122</v>
      </c>
      <c r="AC46" t="s">
        <v>60</v>
      </c>
      <c r="AD46" t="s">
        <v>60</v>
      </c>
      <c r="AE46" t="s">
        <v>61</v>
      </c>
      <c r="AG46" t="s">
        <v>57</v>
      </c>
      <c r="AH46" t="s">
        <v>57</v>
      </c>
      <c r="AN46" t="s">
        <v>57</v>
      </c>
      <c r="AP46" t="s">
        <v>62</v>
      </c>
      <c r="AS46" t="s">
        <v>57</v>
      </c>
      <c r="AT46" t="s">
        <v>57</v>
      </c>
      <c r="AU46" t="s">
        <v>57</v>
      </c>
      <c r="AW46" t="s">
        <v>63</v>
      </c>
      <c r="AX46" t="s">
        <v>57</v>
      </c>
    </row>
    <row r="47" spans="1:50">
      <c r="A47">
        <v>22788222</v>
      </c>
      <c r="B47">
        <v>12669794</v>
      </c>
      <c r="C47" t="str">
        <f>"200223500502"</f>
        <v>200223500502</v>
      </c>
      <c r="D47" t="s">
        <v>190</v>
      </c>
      <c r="E47" t="s">
        <v>191</v>
      </c>
      <c r="F47" t="s">
        <v>192</v>
      </c>
      <c r="G47" s="1">
        <v>43884</v>
      </c>
      <c r="I47" t="s">
        <v>54</v>
      </c>
      <c r="J47" t="s">
        <v>55</v>
      </c>
      <c r="K47" t="s">
        <v>56</v>
      </c>
      <c r="Q47" t="s">
        <v>57</v>
      </c>
      <c r="R47" t="str">
        <f>"КАЗАХСТАН, АБАЙ, АУЫЛДЫҚ ОКРУГІ Кокпектинский, АУЫЛЫ Кокпекты, 2"</f>
        <v>КАЗАХСТАН, АБАЙ, АУЫЛДЫҚ ОКРУГІ Кокпектинский, АУЫЛЫ Кокпекты, 2</v>
      </c>
      <c r="S47" t="str">
        <f>"ҚАЗАҚСТАН, АБАЙ, АУЫЛДЫҚ ОКРУГІ Кокпектинский, АУЫЛЫ Кокпекты, 2"</f>
        <v>ҚАЗАҚСТАН, АБАЙ, АУЫЛДЫҚ ОКРУГІ Кокпектинский, АУЫЛЫ Кокпекты, 2</v>
      </c>
      <c r="T47" t="str">
        <f>"АУЫЛДЫҚ ОКРУГІ Кокпектинский, АУЫЛЫ Кокпекты, 2"</f>
        <v>АУЫЛДЫҚ ОКРУГІ Кокпектинский, АУЫЛЫ Кокпекты, 2</v>
      </c>
      <c r="U47" t="str">
        <f>"АУЫЛДЫҚ ОКРУГІ Кокпектинский, АУЫЛЫ Кокпекты, 2"</f>
        <v>АУЫЛДЫҚ ОКРУГІ Кокпектинский, АУЫЛЫ Кокпекты, 2</v>
      </c>
      <c r="V47" t="str">
        <f>"2022-08-16T00:00:00"</f>
        <v>2022-08-16T00:00:00</v>
      </c>
      <c r="X47" t="str">
        <f>"Балдәурен"</f>
        <v>Балдәурен</v>
      </c>
      <c r="Y47" t="s">
        <v>66</v>
      </c>
      <c r="AA47" t="s">
        <v>59</v>
      </c>
      <c r="AC47" t="s">
        <v>60</v>
      </c>
      <c r="AD47" t="s">
        <v>60</v>
      </c>
      <c r="AE47" t="s">
        <v>61</v>
      </c>
      <c r="AG47" t="s">
        <v>57</v>
      </c>
      <c r="AH47" t="s">
        <v>57</v>
      </c>
      <c r="AN47" t="s">
        <v>57</v>
      </c>
      <c r="AP47" t="s">
        <v>62</v>
      </c>
      <c r="AS47" t="s">
        <v>57</v>
      </c>
      <c r="AT47" t="s">
        <v>57</v>
      </c>
      <c r="AU47" t="s">
        <v>57</v>
      </c>
      <c r="AW47" t="s">
        <v>63</v>
      </c>
      <c r="AX47" t="s">
        <v>70</v>
      </c>
    </row>
    <row r="48" spans="1:50">
      <c r="A48">
        <v>22788008</v>
      </c>
      <c r="B48">
        <v>11700604</v>
      </c>
      <c r="C48" t="str">
        <f>"190209602514"</f>
        <v>190209602514</v>
      </c>
      <c r="D48" t="s">
        <v>193</v>
      </c>
      <c r="E48" t="s">
        <v>194</v>
      </c>
      <c r="F48" t="s">
        <v>80</v>
      </c>
      <c r="G48" s="1">
        <v>43505</v>
      </c>
      <c r="I48" t="s">
        <v>74</v>
      </c>
      <c r="J48" t="s">
        <v>55</v>
      </c>
      <c r="K48" t="s">
        <v>56</v>
      </c>
      <c r="Q48" t="s">
        <v>57</v>
      </c>
      <c r="R48" t="str">
        <f>"КАЗАХСТАН, В-КАЗАХСТАНСКАЯ, КОКПЕКТИНСКИЙ Р-Н, Кокпектинский, Кокпекты, 3, 3"</f>
        <v>КАЗАХСТАН, В-КАЗАХСТАНСКАЯ, КОКПЕКТИНСКИЙ Р-Н, Кокпектинский, Кокпекты, 3, 3</v>
      </c>
      <c r="S48" t="str">
        <f>"ҚАЗАҚСТАН, ШЫҒ-ҚАЗАҚСТАН, КӨКПЕКТІ АУДАНЫ, Кокпектинский, Кокпекты, 3, 3"</f>
        <v>ҚАЗАҚСТАН, ШЫҒ-ҚАЗАҚСТАН, КӨКПЕКТІ АУДАНЫ, Кокпектинский, Кокпекты, 3, 3</v>
      </c>
      <c r="T48" t="str">
        <f>"Кокпектинский, Кокпекты, 3, 3"</f>
        <v>Кокпектинский, Кокпекты, 3, 3</v>
      </c>
      <c r="U48" t="str">
        <f>"Кокпектинский, Кокпекты, 3, 3"</f>
        <v>Кокпектинский, Кокпекты, 3, 3</v>
      </c>
      <c r="V48" t="str">
        <f t="shared" ref="V48:V53" si="6">"2022-08-15T00:00:00"</f>
        <v>2022-08-15T00:00:00</v>
      </c>
      <c r="X48" t="str">
        <f>"Балапан"</f>
        <v>Балапан</v>
      </c>
      <c r="Y48" t="s">
        <v>58</v>
      </c>
      <c r="AA48" t="s">
        <v>59</v>
      </c>
      <c r="AC48" t="s">
        <v>60</v>
      </c>
      <c r="AD48" t="s">
        <v>60</v>
      </c>
      <c r="AE48" t="s">
        <v>61</v>
      </c>
      <c r="AG48" t="s">
        <v>57</v>
      </c>
      <c r="AH48" t="s">
        <v>57</v>
      </c>
      <c r="AN48" t="s">
        <v>57</v>
      </c>
      <c r="AP48" t="s">
        <v>62</v>
      </c>
      <c r="AS48" t="s">
        <v>57</v>
      </c>
      <c r="AT48" t="s">
        <v>57</v>
      </c>
      <c r="AU48" t="s">
        <v>57</v>
      </c>
      <c r="AW48" t="s">
        <v>63</v>
      </c>
      <c r="AX48" t="s">
        <v>70</v>
      </c>
    </row>
    <row r="49" spans="1:50">
      <c r="A49">
        <v>22787871</v>
      </c>
      <c r="B49">
        <v>12669733</v>
      </c>
      <c r="C49" t="str">
        <f>"201102550028"</f>
        <v>201102550028</v>
      </c>
      <c r="D49" t="s">
        <v>195</v>
      </c>
      <c r="E49" t="s">
        <v>103</v>
      </c>
      <c r="F49" t="s">
        <v>196</v>
      </c>
      <c r="G49" s="1">
        <v>44137</v>
      </c>
      <c r="I49" t="s">
        <v>54</v>
      </c>
      <c r="J49" t="s">
        <v>55</v>
      </c>
      <c r="K49" t="s">
        <v>56</v>
      </c>
      <c r="Q49" t="s">
        <v>57</v>
      </c>
      <c r="R49" t="str">
        <f>"-"</f>
        <v>-</v>
      </c>
      <c r="S49" t="str">
        <f>"-"</f>
        <v>-</v>
      </c>
      <c r="T49" t="str">
        <f>"-"</f>
        <v>-</v>
      </c>
      <c r="U49" t="str">
        <f>"-"</f>
        <v>-</v>
      </c>
      <c r="V49" t="str">
        <f t="shared" si="6"/>
        <v>2022-08-15T00:00:00</v>
      </c>
      <c r="X49" t="str">
        <f>"Балдәурен"</f>
        <v>Балдәурен</v>
      </c>
      <c r="Y49" t="s">
        <v>66</v>
      </c>
      <c r="AA49" t="s">
        <v>59</v>
      </c>
      <c r="AC49" t="s">
        <v>60</v>
      </c>
      <c r="AD49" t="s">
        <v>60</v>
      </c>
      <c r="AE49" t="s">
        <v>61</v>
      </c>
      <c r="AG49" t="s">
        <v>57</v>
      </c>
      <c r="AH49" t="s">
        <v>57</v>
      </c>
      <c r="AN49" t="s">
        <v>57</v>
      </c>
      <c r="AP49" t="s">
        <v>62</v>
      </c>
      <c r="AS49" t="s">
        <v>57</v>
      </c>
      <c r="AT49" t="s">
        <v>57</v>
      </c>
      <c r="AU49" t="s">
        <v>57</v>
      </c>
      <c r="AW49" t="s">
        <v>63</v>
      </c>
      <c r="AX49" t="s">
        <v>57</v>
      </c>
    </row>
    <row r="50" spans="1:50">
      <c r="A50">
        <v>22787688</v>
      </c>
      <c r="B50">
        <v>12669700</v>
      </c>
      <c r="C50" t="str">
        <f>"191016504657"</f>
        <v>191016504657</v>
      </c>
      <c r="D50" t="s">
        <v>197</v>
      </c>
      <c r="E50" t="s">
        <v>198</v>
      </c>
      <c r="F50" t="s">
        <v>199</v>
      </c>
      <c r="G50" s="1">
        <v>43754</v>
      </c>
      <c r="I50" t="s">
        <v>54</v>
      </c>
      <c r="J50" t="s">
        <v>55</v>
      </c>
      <c r="K50" t="s">
        <v>56</v>
      </c>
      <c r="Q50" t="s">
        <v>57</v>
      </c>
      <c r="R50" t="str">
        <f>"КАЗАХСТАН, В-КАЗАХСТАНСКАЯ, КОКПЕКТИНСКИЙ Р-Н, Кокпектинский, Кокпекты, 10, 1"</f>
        <v>КАЗАХСТАН, В-КАЗАХСТАНСКАЯ, КОКПЕКТИНСКИЙ Р-Н, Кокпектинский, Кокпекты, 10, 1</v>
      </c>
      <c r="S50" t="str">
        <f>"ҚАЗАҚСТАН, ШЫҒ-ҚАЗАҚСТАН, КӨКПЕКТІ АУДАНЫ, Кокпектинский, Кокпекты, 10, 1"</f>
        <v>ҚАЗАҚСТАН, ШЫҒ-ҚАЗАҚСТАН, КӨКПЕКТІ АУДАНЫ, Кокпектинский, Кокпекты, 10, 1</v>
      </c>
      <c r="T50" t="str">
        <f>"Кокпектинский, Кокпекты, 10, 1"</f>
        <v>Кокпектинский, Кокпекты, 10, 1</v>
      </c>
      <c r="U50" t="str">
        <f>"Кокпектинский, Кокпекты, 10, 1"</f>
        <v>Кокпектинский, Кокпекты, 10, 1</v>
      </c>
      <c r="V50" t="str">
        <f t="shared" si="6"/>
        <v>2022-08-15T00:00:00</v>
      </c>
      <c r="X50" t="str">
        <f>"Қошақан"</f>
        <v>Қошақан</v>
      </c>
      <c r="Y50" t="s">
        <v>66</v>
      </c>
      <c r="AA50" t="s">
        <v>59</v>
      </c>
      <c r="AC50" t="s">
        <v>60</v>
      </c>
      <c r="AD50" t="s">
        <v>60</v>
      </c>
      <c r="AE50" t="s">
        <v>61</v>
      </c>
      <c r="AG50" t="s">
        <v>57</v>
      </c>
      <c r="AH50" t="s">
        <v>57</v>
      </c>
      <c r="AN50" t="s">
        <v>57</v>
      </c>
      <c r="AP50" t="s">
        <v>62</v>
      </c>
      <c r="AS50" t="s">
        <v>57</v>
      </c>
      <c r="AT50" t="s">
        <v>57</v>
      </c>
      <c r="AU50" t="s">
        <v>57</v>
      </c>
      <c r="AW50" t="s">
        <v>63</v>
      </c>
      <c r="AX50" t="s">
        <v>70</v>
      </c>
    </row>
    <row r="51" spans="1:50">
      <c r="A51">
        <v>22772699</v>
      </c>
      <c r="B51">
        <v>12667077</v>
      </c>
      <c r="C51" t="str">
        <f>"200904603565"</f>
        <v>200904603565</v>
      </c>
      <c r="D51" t="s">
        <v>126</v>
      </c>
      <c r="E51" t="s">
        <v>200</v>
      </c>
      <c r="G51" s="1">
        <v>44078</v>
      </c>
      <c r="I51" t="s">
        <v>74</v>
      </c>
      <c r="J51" t="s">
        <v>55</v>
      </c>
      <c r="K51" t="s">
        <v>56</v>
      </c>
      <c r="Q51" t="s">
        <v>57</v>
      </c>
      <c r="R51" t="str">
        <f>"-"</f>
        <v>-</v>
      </c>
      <c r="S51" t="str">
        <f>"-"</f>
        <v>-</v>
      </c>
      <c r="T51" t="str">
        <f>"-"</f>
        <v>-</v>
      </c>
      <c r="U51" t="str">
        <f>"-"</f>
        <v>-</v>
      </c>
      <c r="V51" t="str">
        <f t="shared" si="6"/>
        <v>2022-08-15T00:00:00</v>
      </c>
      <c r="X51" t="str">
        <f>"Балдәурен"</f>
        <v>Балдәурен</v>
      </c>
      <c r="Y51" t="s">
        <v>66</v>
      </c>
      <c r="AA51" t="s">
        <v>59</v>
      </c>
      <c r="AC51" t="s">
        <v>60</v>
      </c>
      <c r="AD51" t="s">
        <v>60</v>
      </c>
      <c r="AE51" t="s">
        <v>61</v>
      </c>
      <c r="AG51" t="s">
        <v>57</v>
      </c>
      <c r="AH51" t="s">
        <v>57</v>
      </c>
      <c r="AN51" t="s">
        <v>57</v>
      </c>
      <c r="AP51" t="s">
        <v>62</v>
      </c>
      <c r="AS51" t="s">
        <v>57</v>
      </c>
      <c r="AT51" t="s">
        <v>57</v>
      </c>
      <c r="AU51" t="s">
        <v>57</v>
      </c>
      <c r="AW51" t="s">
        <v>63</v>
      </c>
      <c r="AX51" t="s">
        <v>57</v>
      </c>
    </row>
    <row r="52" spans="1:50">
      <c r="A52">
        <v>22772566</v>
      </c>
      <c r="B52">
        <v>11702705</v>
      </c>
      <c r="C52" t="str">
        <f>"190825603432"</f>
        <v>190825603432</v>
      </c>
      <c r="D52" t="s">
        <v>201</v>
      </c>
      <c r="E52" t="s">
        <v>202</v>
      </c>
      <c r="F52" t="s">
        <v>203</v>
      </c>
      <c r="G52" s="1">
        <v>43702</v>
      </c>
      <c r="I52" t="s">
        <v>74</v>
      </c>
      <c r="J52" t="s">
        <v>55</v>
      </c>
      <c r="K52" t="s">
        <v>56</v>
      </c>
      <c r="Q52" t="s">
        <v>57</v>
      </c>
      <c r="R52" t="str">
        <f>"КАЗАХСТАН, АБАЙ, Кокпектинский, Кокпекты, 29"</f>
        <v>КАЗАХСТАН, АБАЙ, Кокпектинский, Кокпекты, 29</v>
      </c>
      <c r="S52" t="str">
        <f>"ҚАЗАҚСТАН, АБАЙ, Кокпектинский, Кокпекты, 29"</f>
        <v>ҚАЗАҚСТАН, АБАЙ, Кокпектинский, Кокпекты, 29</v>
      </c>
      <c r="T52" t="str">
        <f>"Кокпектинский, Кокпекты, 29"</f>
        <v>Кокпектинский, Кокпекты, 29</v>
      </c>
      <c r="U52" t="str">
        <f>"Кокпектинский, Кокпекты, 29"</f>
        <v>Кокпектинский, Кокпекты, 29</v>
      </c>
      <c r="V52" t="str">
        <f t="shared" si="6"/>
        <v>2022-08-15T00:00:00</v>
      </c>
      <c r="X52" t="str">
        <f>"Қошақан"</f>
        <v>Қошақан</v>
      </c>
      <c r="Y52" t="s">
        <v>66</v>
      </c>
      <c r="AA52" t="s">
        <v>59</v>
      </c>
      <c r="AB52" t="s">
        <v>81</v>
      </c>
      <c r="AC52" t="s">
        <v>60</v>
      </c>
      <c r="AD52" t="s">
        <v>60</v>
      </c>
      <c r="AE52" t="s">
        <v>61</v>
      </c>
      <c r="AG52" t="s">
        <v>57</v>
      </c>
      <c r="AH52" t="s">
        <v>57</v>
      </c>
      <c r="AN52" t="s">
        <v>57</v>
      </c>
      <c r="AP52" t="s">
        <v>62</v>
      </c>
      <c r="AS52" t="s">
        <v>57</v>
      </c>
      <c r="AT52" t="s">
        <v>57</v>
      </c>
      <c r="AU52" t="s">
        <v>70</v>
      </c>
      <c r="AV52" t="s">
        <v>89</v>
      </c>
      <c r="AW52" t="s">
        <v>90</v>
      </c>
      <c r="AX52" t="s">
        <v>57</v>
      </c>
    </row>
    <row r="53" spans="1:50">
      <c r="A53">
        <v>22772376</v>
      </c>
      <c r="B53">
        <v>12667010</v>
      </c>
      <c r="C53" t="str">
        <f>"210216653682"</f>
        <v>210216653682</v>
      </c>
      <c r="D53" t="s">
        <v>204</v>
      </c>
      <c r="E53" t="s">
        <v>205</v>
      </c>
      <c r="G53" s="1">
        <v>44243</v>
      </c>
      <c r="I53" t="s">
        <v>74</v>
      </c>
      <c r="J53" t="s">
        <v>55</v>
      </c>
      <c r="K53" t="s">
        <v>56</v>
      </c>
      <c r="Q53" t="s">
        <v>57</v>
      </c>
      <c r="R53" t="str">
        <f t="shared" ref="R53:U54" si="7">"-"</f>
        <v>-</v>
      </c>
      <c r="S53" t="str">
        <f t="shared" si="7"/>
        <v>-</v>
      </c>
      <c r="T53" t="str">
        <f t="shared" si="7"/>
        <v>-</v>
      </c>
      <c r="U53" t="str">
        <f t="shared" si="7"/>
        <v>-</v>
      </c>
      <c r="V53" t="str">
        <f t="shared" si="6"/>
        <v>2022-08-15T00:00:00</v>
      </c>
      <c r="X53" t="str">
        <f>"Солнышко"</f>
        <v>Солнышко</v>
      </c>
      <c r="Y53" t="s">
        <v>85</v>
      </c>
      <c r="AA53" t="s">
        <v>122</v>
      </c>
      <c r="AC53" t="s">
        <v>60</v>
      </c>
      <c r="AD53" t="s">
        <v>60</v>
      </c>
      <c r="AE53" t="s">
        <v>61</v>
      </c>
      <c r="AG53" t="s">
        <v>57</v>
      </c>
      <c r="AH53" t="s">
        <v>57</v>
      </c>
      <c r="AN53" t="s">
        <v>57</v>
      </c>
      <c r="AP53" t="s">
        <v>62</v>
      </c>
      <c r="AS53" t="s">
        <v>57</v>
      </c>
      <c r="AT53" t="s">
        <v>57</v>
      </c>
      <c r="AU53" t="s">
        <v>57</v>
      </c>
      <c r="AW53" t="s">
        <v>63</v>
      </c>
      <c r="AX53" t="s">
        <v>57</v>
      </c>
    </row>
    <row r="54" spans="1:50">
      <c r="A54">
        <v>22772210</v>
      </c>
      <c r="B54">
        <v>12666976</v>
      </c>
      <c r="C54" t="str">
        <f>"210307651264"</f>
        <v>210307651264</v>
      </c>
      <c r="D54" t="s">
        <v>206</v>
      </c>
      <c r="E54" t="s">
        <v>207</v>
      </c>
      <c r="F54" t="s">
        <v>208</v>
      </c>
      <c r="G54" s="1">
        <v>44262</v>
      </c>
      <c r="I54" t="s">
        <v>74</v>
      </c>
      <c r="J54" t="s">
        <v>55</v>
      </c>
      <c r="K54" t="s">
        <v>56</v>
      </c>
      <c r="Q54" t="s">
        <v>57</v>
      </c>
      <c r="R54" t="str">
        <f t="shared" si="7"/>
        <v>-</v>
      </c>
      <c r="S54" t="str">
        <f t="shared" si="7"/>
        <v>-</v>
      </c>
      <c r="T54" t="str">
        <f t="shared" si="7"/>
        <v>-</v>
      </c>
      <c r="U54" t="str">
        <f t="shared" si="7"/>
        <v>-</v>
      </c>
      <c r="V54" t="str">
        <f>"2022-08-16T00:00:00"</f>
        <v>2022-08-16T00:00:00</v>
      </c>
      <c r="X54" t="str">
        <f>"Солнышко"</f>
        <v>Солнышко</v>
      </c>
      <c r="Y54" t="s">
        <v>85</v>
      </c>
      <c r="AA54" t="s">
        <v>122</v>
      </c>
      <c r="AC54" t="s">
        <v>60</v>
      </c>
      <c r="AD54" t="s">
        <v>60</v>
      </c>
      <c r="AE54" t="s">
        <v>61</v>
      </c>
      <c r="AG54" t="s">
        <v>57</v>
      </c>
      <c r="AH54" t="s">
        <v>57</v>
      </c>
      <c r="AN54" t="s">
        <v>57</v>
      </c>
      <c r="AP54" t="s">
        <v>62</v>
      </c>
      <c r="AS54" t="s">
        <v>57</v>
      </c>
      <c r="AT54" t="s">
        <v>57</v>
      </c>
      <c r="AU54" t="s">
        <v>57</v>
      </c>
      <c r="AW54" t="s">
        <v>63</v>
      </c>
      <c r="AX54" t="s">
        <v>57</v>
      </c>
    </row>
    <row r="55" spans="1:50">
      <c r="A55">
        <v>22771947</v>
      </c>
      <c r="B55">
        <v>12666903</v>
      </c>
      <c r="C55" t="str">
        <f>"190817601214"</f>
        <v>190817601214</v>
      </c>
      <c r="D55" t="s">
        <v>209</v>
      </c>
      <c r="E55" t="s">
        <v>210</v>
      </c>
      <c r="F55" t="s">
        <v>211</v>
      </c>
      <c r="G55" s="1">
        <v>43694</v>
      </c>
      <c r="I55" t="s">
        <v>74</v>
      </c>
      <c r="J55" t="s">
        <v>55</v>
      </c>
      <c r="K55" t="s">
        <v>56</v>
      </c>
      <c r="Q55" t="s">
        <v>57</v>
      </c>
      <c r="R55" t="str">
        <f>"КАЗАХСТАН, В-КАЗАХСТАНСКАЯ, КОКПЕКТИНСКИЙ Р-Н, АУЫЛДЫҚ ОКРУГІ Кокпектинский, АУЫЛЫ Кокпекты, 19А"</f>
        <v>КАЗАХСТАН, В-КАЗАХСТАНСКАЯ, КОКПЕКТИНСКИЙ Р-Н, АУЫЛДЫҚ ОКРУГІ Кокпектинский, АУЫЛЫ Кокпекты, 19А</v>
      </c>
      <c r="S55" t="str">
        <f>"ҚАЗАҚСТАН, ШЫҒ-ҚАЗАҚСТАН, КӨКПЕКТІ АУДАНЫ, АУЫЛДЫҚ ОКРУГІ Кокпектинский, АУЫЛЫ Кокпекты, 19А"</f>
        <v>ҚАЗАҚСТАН, ШЫҒ-ҚАЗАҚСТАН, КӨКПЕКТІ АУДАНЫ, АУЫЛДЫҚ ОКРУГІ Кокпектинский, АУЫЛЫ Кокпекты, 19А</v>
      </c>
      <c r="T55" t="str">
        <f>"АУЫЛДЫҚ ОКРУГІ Кокпектинский, АУЫЛЫ Кокпекты, 19А"</f>
        <v>АУЫЛДЫҚ ОКРУГІ Кокпектинский, АУЫЛЫ Кокпекты, 19А</v>
      </c>
      <c r="U55" t="str">
        <f>"АУЫЛДЫҚ ОКРУГІ Кокпектинский, АУЫЛЫ Кокпекты, 19А"</f>
        <v>АУЫЛДЫҚ ОКРУГІ Кокпектинский, АУЫЛЫ Кокпекты, 19А</v>
      </c>
      <c r="V55" t="str">
        <f>"2022-08-15T00:00:00"</f>
        <v>2022-08-15T00:00:00</v>
      </c>
      <c r="X55" t="str">
        <f>"Балапан"</f>
        <v>Балапан</v>
      </c>
      <c r="Y55" t="s">
        <v>58</v>
      </c>
      <c r="AA55" t="s">
        <v>59</v>
      </c>
      <c r="AC55" t="s">
        <v>60</v>
      </c>
      <c r="AD55" t="s">
        <v>60</v>
      </c>
      <c r="AE55" t="s">
        <v>61</v>
      </c>
      <c r="AG55" t="s">
        <v>57</v>
      </c>
      <c r="AH55" t="s">
        <v>57</v>
      </c>
      <c r="AN55" t="s">
        <v>57</v>
      </c>
      <c r="AP55" t="s">
        <v>62</v>
      </c>
      <c r="AS55" t="s">
        <v>57</v>
      </c>
      <c r="AT55" t="s">
        <v>57</v>
      </c>
      <c r="AU55" t="s">
        <v>57</v>
      </c>
      <c r="AW55" t="s">
        <v>63</v>
      </c>
      <c r="AX55" t="s">
        <v>57</v>
      </c>
    </row>
    <row r="56" spans="1:50">
      <c r="A56">
        <v>22436818</v>
      </c>
      <c r="B56">
        <v>11752782</v>
      </c>
      <c r="C56" t="str">
        <f>"200403602543"</f>
        <v>200403602543</v>
      </c>
      <c r="D56" t="s">
        <v>212</v>
      </c>
      <c r="E56" t="s">
        <v>213</v>
      </c>
      <c r="G56" s="1">
        <v>43924</v>
      </c>
      <c r="I56" t="s">
        <v>74</v>
      </c>
      <c r="J56" t="s">
        <v>55</v>
      </c>
      <c r="K56" t="s">
        <v>56</v>
      </c>
      <c r="Q56" t="s">
        <v>57</v>
      </c>
      <c r="R56" t="str">
        <f>"КАЗАХСТАН, В-КАЗАХСТАНСКАЯ, КОКПЕКТИНСКИЙ Р-Н, АУЫЛДЫҚ ОКРУГІ Койгельды Аухадиева, АУЫЛЫ Преображенка, 20"</f>
        <v>КАЗАХСТАН, В-КАЗАХСТАНСКАЯ, КОКПЕКТИНСКИЙ Р-Н, АУЫЛДЫҚ ОКРУГІ Койгельды Аухадиева, АУЫЛЫ Преображенка, 20</v>
      </c>
      <c r="S56" t="str">
        <f>"ҚАЗАҚСТАН, ШЫҒ-ҚАЗАҚСТАН, КӨКПЕКТІ АУДАНЫ, АУЫЛДЫҚ ОКРУГІ Койгельды Аухадиева, АУЫЛЫ Преображенка, 20"</f>
        <v>ҚАЗАҚСТАН, ШЫҒ-ҚАЗАҚСТАН, КӨКПЕКТІ АУДАНЫ, АУЫЛДЫҚ ОКРУГІ Койгельды Аухадиева, АУЫЛЫ Преображенка, 20</v>
      </c>
      <c r="T56" t="str">
        <f>"АУЫЛДЫҚ ОКРУГІ Койгельды Аухадиева, АУЫЛЫ Преображенка, 20"</f>
        <v>АУЫЛДЫҚ ОКРУГІ Койгельды Аухадиева, АУЫЛЫ Преображенка, 20</v>
      </c>
      <c r="U56" t="str">
        <f>"АУЫЛДЫҚ ОКРУГІ Койгельды Аухадиева, АУЫЛЫ Преображенка, 20"</f>
        <v>АУЫЛДЫҚ ОКРУГІ Койгельды Аухадиева, АУЫЛЫ Преображенка, 20</v>
      </c>
      <c r="V56" t="str">
        <f>"2022-02-07T00:00:00"</f>
        <v>2022-02-07T00:00:00</v>
      </c>
      <c r="X56" t="str">
        <f>"Балдәурен"</f>
        <v>Балдәурен</v>
      </c>
      <c r="Y56" t="s">
        <v>66</v>
      </c>
      <c r="AA56" t="s">
        <v>59</v>
      </c>
      <c r="AC56" t="s">
        <v>60</v>
      </c>
      <c r="AD56" t="s">
        <v>60</v>
      </c>
      <c r="AE56" t="s">
        <v>61</v>
      </c>
      <c r="AG56" t="s">
        <v>57</v>
      </c>
      <c r="AH56" t="s">
        <v>57</v>
      </c>
      <c r="AN56" t="s">
        <v>57</v>
      </c>
      <c r="AP56" t="s">
        <v>62</v>
      </c>
      <c r="AS56" t="s">
        <v>57</v>
      </c>
      <c r="AT56" t="s">
        <v>57</v>
      </c>
      <c r="AU56" t="s">
        <v>57</v>
      </c>
      <c r="AW56" t="s">
        <v>63</v>
      </c>
      <c r="AX56" t="s">
        <v>70</v>
      </c>
    </row>
    <row r="57" spans="1:50">
      <c r="A57">
        <v>22083195</v>
      </c>
      <c r="B57">
        <v>12031054</v>
      </c>
      <c r="C57" t="str">
        <f>"201019555741"</f>
        <v>201019555741</v>
      </c>
      <c r="D57" t="s">
        <v>214</v>
      </c>
      <c r="E57" t="s">
        <v>215</v>
      </c>
      <c r="F57" t="s">
        <v>216</v>
      </c>
      <c r="G57" s="1">
        <v>44123</v>
      </c>
      <c r="I57" t="s">
        <v>54</v>
      </c>
      <c r="J57" t="s">
        <v>55</v>
      </c>
      <c r="K57" t="s">
        <v>56</v>
      </c>
      <c r="Q57" t="s">
        <v>57</v>
      </c>
      <c r="R57" t="str">
        <f t="shared" ref="R57:U60" si="8">"-"</f>
        <v>-</v>
      </c>
      <c r="S57" t="str">
        <f t="shared" si="8"/>
        <v>-</v>
      </c>
      <c r="T57" t="str">
        <f t="shared" si="8"/>
        <v>-</v>
      </c>
      <c r="U57" t="str">
        <f t="shared" si="8"/>
        <v>-</v>
      </c>
      <c r="V57" t="str">
        <f>"2022-03-09T00:00:00"</f>
        <v>2022-03-09T00:00:00</v>
      </c>
      <c r="X57" t="str">
        <f>"Балдәурен"</f>
        <v>Балдәурен</v>
      </c>
      <c r="Y57" t="s">
        <v>66</v>
      </c>
      <c r="AA57" t="s">
        <v>59</v>
      </c>
      <c r="AC57" t="s">
        <v>60</v>
      </c>
      <c r="AD57" t="s">
        <v>60</v>
      </c>
      <c r="AE57" t="s">
        <v>61</v>
      </c>
      <c r="AG57" t="s">
        <v>57</v>
      </c>
      <c r="AH57" t="s">
        <v>57</v>
      </c>
      <c r="AN57" t="s">
        <v>57</v>
      </c>
      <c r="AP57" t="s">
        <v>62</v>
      </c>
      <c r="AS57" t="s">
        <v>57</v>
      </c>
      <c r="AT57" t="s">
        <v>57</v>
      </c>
      <c r="AU57" t="s">
        <v>70</v>
      </c>
      <c r="AV57" t="s">
        <v>89</v>
      </c>
      <c r="AW57" t="s">
        <v>63</v>
      </c>
      <c r="AX57" t="s">
        <v>57</v>
      </c>
    </row>
    <row r="58" spans="1:50">
      <c r="A58">
        <v>22083178</v>
      </c>
      <c r="B58">
        <v>12031056</v>
      </c>
      <c r="C58" t="str">
        <f>"201019555731"</f>
        <v>201019555731</v>
      </c>
      <c r="D58" t="s">
        <v>214</v>
      </c>
      <c r="E58" t="s">
        <v>134</v>
      </c>
      <c r="F58" t="s">
        <v>216</v>
      </c>
      <c r="G58" s="1">
        <v>44123</v>
      </c>
      <c r="I58" t="s">
        <v>54</v>
      </c>
      <c r="J58" t="s">
        <v>55</v>
      </c>
      <c r="K58" t="s">
        <v>56</v>
      </c>
      <c r="Q58" t="s">
        <v>57</v>
      </c>
      <c r="R58" t="str">
        <f t="shared" si="8"/>
        <v>-</v>
      </c>
      <c r="S58" t="str">
        <f t="shared" si="8"/>
        <v>-</v>
      </c>
      <c r="T58" t="str">
        <f t="shared" si="8"/>
        <v>-</v>
      </c>
      <c r="U58" t="str">
        <f t="shared" si="8"/>
        <v>-</v>
      </c>
      <c r="V58" t="str">
        <f>"2022-03-09T00:00:00"</f>
        <v>2022-03-09T00:00:00</v>
      </c>
      <c r="X58" t="str">
        <f>"Балдәурен"</f>
        <v>Балдәурен</v>
      </c>
      <c r="Y58" t="s">
        <v>66</v>
      </c>
      <c r="AA58" t="s">
        <v>59</v>
      </c>
      <c r="AC58" t="s">
        <v>60</v>
      </c>
      <c r="AD58" t="s">
        <v>60</v>
      </c>
      <c r="AE58" t="s">
        <v>61</v>
      </c>
      <c r="AG58" t="s">
        <v>57</v>
      </c>
      <c r="AH58" t="s">
        <v>57</v>
      </c>
      <c r="AN58" t="s">
        <v>57</v>
      </c>
      <c r="AP58" t="s">
        <v>62</v>
      </c>
      <c r="AS58" t="s">
        <v>57</v>
      </c>
      <c r="AT58" t="s">
        <v>57</v>
      </c>
      <c r="AU58" t="s">
        <v>70</v>
      </c>
      <c r="AV58" t="s">
        <v>89</v>
      </c>
      <c r="AW58" t="s">
        <v>63</v>
      </c>
      <c r="AX58" t="s">
        <v>57</v>
      </c>
    </row>
    <row r="59" spans="1:50">
      <c r="A59">
        <v>22060534</v>
      </c>
      <c r="B59">
        <v>12414386</v>
      </c>
      <c r="C59" t="str">
        <f>"200906502323"</f>
        <v>200906502323</v>
      </c>
      <c r="D59" t="s">
        <v>217</v>
      </c>
      <c r="E59" t="s">
        <v>218</v>
      </c>
      <c r="F59" t="s">
        <v>219</v>
      </c>
      <c r="G59" s="1">
        <v>44080</v>
      </c>
      <c r="I59" t="s">
        <v>54</v>
      </c>
      <c r="J59" t="s">
        <v>55</v>
      </c>
      <c r="K59" t="s">
        <v>56</v>
      </c>
      <c r="Q59" t="s">
        <v>57</v>
      </c>
      <c r="R59" t="str">
        <f t="shared" si="8"/>
        <v>-</v>
      </c>
      <c r="S59" t="str">
        <f t="shared" si="8"/>
        <v>-</v>
      </c>
      <c r="T59" t="str">
        <f t="shared" si="8"/>
        <v>-</v>
      </c>
      <c r="U59" t="str">
        <f t="shared" si="8"/>
        <v>-</v>
      </c>
      <c r="V59" t="str">
        <f>"2022-03-17T00:00:00"</f>
        <v>2022-03-17T00:00:00</v>
      </c>
      <c r="X59" t="str">
        <f>"Ромашка"</f>
        <v>Ромашка</v>
      </c>
      <c r="Y59" t="s">
        <v>58</v>
      </c>
      <c r="AA59" t="s">
        <v>122</v>
      </c>
      <c r="AC59" t="s">
        <v>60</v>
      </c>
      <c r="AD59" t="s">
        <v>60</v>
      </c>
      <c r="AE59" t="s">
        <v>61</v>
      </c>
      <c r="AG59" t="s">
        <v>57</v>
      </c>
      <c r="AH59" t="s">
        <v>57</v>
      </c>
      <c r="AN59" t="s">
        <v>57</v>
      </c>
      <c r="AP59" t="s">
        <v>62</v>
      </c>
      <c r="AS59" t="s">
        <v>57</v>
      </c>
      <c r="AT59" t="s">
        <v>57</v>
      </c>
      <c r="AU59" t="s">
        <v>57</v>
      </c>
      <c r="AW59" t="s">
        <v>63</v>
      </c>
      <c r="AX59" t="s">
        <v>70</v>
      </c>
    </row>
    <row r="60" spans="1:50">
      <c r="A60">
        <v>22060491</v>
      </c>
      <c r="B60">
        <v>12414375</v>
      </c>
      <c r="C60" t="str">
        <f>"200902504080"</f>
        <v>200902504080</v>
      </c>
      <c r="D60" t="s">
        <v>220</v>
      </c>
      <c r="E60" t="s">
        <v>221</v>
      </c>
      <c r="F60" t="s">
        <v>199</v>
      </c>
      <c r="G60" s="1">
        <v>44076</v>
      </c>
      <c r="I60" t="s">
        <v>54</v>
      </c>
      <c r="J60" t="s">
        <v>55</v>
      </c>
      <c r="K60" t="s">
        <v>56</v>
      </c>
      <c r="Q60" t="s">
        <v>57</v>
      </c>
      <c r="R60" t="str">
        <f t="shared" si="8"/>
        <v>-</v>
      </c>
      <c r="S60" t="str">
        <f t="shared" si="8"/>
        <v>-</v>
      </c>
      <c r="T60" t="str">
        <f t="shared" si="8"/>
        <v>-</v>
      </c>
      <c r="U60" t="str">
        <f t="shared" si="8"/>
        <v>-</v>
      </c>
      <c r="V60" t="str">
        <f>"2022-03-01T00:00:00"</f>
        <v>2022-03-01T00:00:00</v>
      </c>
      <c r="X60" t="str">
        <f>"Балдәурен"</f>
        <v>Балдәурен</v>
      </c>
      <c r="Y60" t="s">
        <v>66</v>
      </c>
      <c r="AA60" t="s">
        <v>59</v>
      </c>
      <c r="AC60" t="s">
        <v>60</v>
      </c>
      <c r="AD60" t="s">
        <v>60</v>
      </c>
      <c r="AE60" t="s">
        <v>61</v>
      </c>
      <c r="AG60" t="s">
        <v>57</v>
      </c>
      <c r="AH60" t="s">
        <v>57</v>
      </c>
      <c r="AN60" t="s">
        <v>57</v>
      </c>
      <c r="AP60" t="s">
        <v>62</v>
      </c>
      <c r="AS60" t="s">
        <v>57</v>
      </c>
      <c r="AT60" t="s">
        <v>57</v>
      </c>
      <c r="AU60" t="s">
        <v>57</v>
      </c>
      <c r="AW60" t="s">
        <v>63</v>
      </c>
      <c r="AX60" t="s">
        <v>70</v>
      </c>
    </row>
    <row r="61" spans="1:50">
      <c r="A61">
        <v>22060467</v>
      </c>
      <c r="B61">
        <v>9943700</v>
      </c>
      <c r="C61" t="str">
        <f>"191016504865"</f>
        <v>191016504865</v>
      </c>
      <c r="D61" t="s">
        <v>222</v>
      </c>
      <c r="E61" t="s">
        <v>137</v>
      </c>
      <c r="F61" t="s">
        <v>223</v>
      </c>
      <c r="G61" s="1">
        <v>43754</v>
      </c>
      <c r="I61" t="s">
        <v>54</v>
      </c>
      <c r="J61" t="s">
        <v>55</v>
      </c>
      <c r="K61" t="s">
        <v>56</v>
      </c>
      <c r="Q61" t="s">
        <v>57</v>
      </c>
      <c r="R61" t="str">
        <f>"КАЗАХСТАН, АБАЙ, Койгельды Аухадиева, Преображенка, 11"</f>
        <v>КАЗАХСТАН, АБАЙ, Койгельды Аухадиева, Преображенка, 11</v>
      </c>
      <c r="S61" t="str">
        <f>"ҚАЗАҚСТАН, АБАЙ, Койгельды Аухадиева, Преображенка, 11"</f>
        <v>ҚАЗАҚСТАН, АБАЙ, Койгельды Аухадиева, Преображенка, 11</v>
      </c>
      <c r="T61" t="str">
        <f>"Койгельды Аухадиева, Преображенка, 11"</f>
        <v>Койгельды Аухадиева, Преображенка, 11</v>
      </c>
      <c r="U61" t="str">
        <f>"Койгельды Аухадиева, Преображенка, 11"</f>
        <v>Койгельды Аухадиева, Преображенка, 11</v>
      </c>
      <c r="V61" t="str">
        <f>"2022-02-01T00:00:00"</f>
        <v>2022-02-01T00:00:00</v>
      </c>
      <c r="X61" t="str">
        <f>"Балдәурен"</f>
        <v>Балдәурен</v>
      </c>
      <c r="Y61" t="s">
        <v>66</v>
      </c>
      <c r="AA61" t="s">
        <v>59</v>
      </c>
      <c r="AC61" t="s">
        <v>60</v>
      </c>
      <c r="AD61" t="s">
        <v>60</v>
      </c>
      <c r="AE61" t="s">
        <v>61</v>
      </c>
      <c r="AG61" t="s">
        <v>57</v>
      </c>
      <c r="AH61" t="s">
        <v>57</v>
      </c>
      <c r="AN61" t="s">
        <v>57</v>
      </c>
      <c r="AP61" t="s">
        <v>62</v>
      </c>
      <c r="AS61" t="s">
        <v>57</v>
      </c>
      <c r="AT61" t="s">
        <v>57</v>
      </c>
      <c r="AU61" t="s">
        <v>57</v>
      </c>
      <c r="AW61" t="s">
        <v>63</v>
      </c>
      <c r="AX61" t="s">
        <v>70</v>
      </c>
    </row>
    <row r="62" spans="1:50">
      <c r="A62">
        <v>22060429</v>
      </c>
      <c r="B62">
        <v>12414358</v>
      </c>
      <c r="C62" t="str">
        <f>"200623502741"</f>
        <v>200623502741</v>
      </c>
      <c r="D62" t="s">
        <v>224</v>
      </c>
      <c r="E62" t="s">
        <v>225</v>
      </c>
      <c r="G62" s="1">
        <v>44005</v>
      </c>
      <c r="I62" t="s">
        <v>54</v>
      </c>
      <c r="J62" t="s">
        <v>55</v>
      </c>
      <c r="K62" t="s">
        <v>56</v>
      </c>
      <c r="Q62" t="s">
        <v>57</v>
      </c>
      <c r="R62" t="str">
        <f t="shared" ref="R62:U63" si="9">"-"</f>
        <v>-</v>
      </c>
      <c r="S62" t="str">
        <f t="shared" si="9"/>
        <v>-</v>
      </c>
      <c r="T62" t="str">
        <f t="shared" si="9"/>
        <v>-</v>
      </c>
      <c r="U62" t="str">
        <f t="shared" si="9"/>
        <v>-</v>
      </c>
      <c r="V62" t="str">
        <f>"2022-03-01T00:00:00"</f>
        <v>2022-03-01T00:00:00</v>
      </c>
      <c r="X62" t="str">
        <f>"Балдәурен"</f>
        <v>Балдәурен</v>
      </c>
      <c r="Y62" t="s">
        <v>66</v>
      </c>
      <c r="AA62" t="s">
        <v>59</v>
      </c>
      <c r="AC62" t="s">
        <v>60</v>
      </c>
      <c r="AD62" t="s">
        <v>60</v>
      </c>
      <c r="AE62" t="s">
        <v>61</v>
      </c>
      <c r="AG62" t="s">
        <v>57</v>
      </c>
      <c r="AH62" t="s">
        <v>57</v>
      </c>
      <c r="AN62" t="s">
        <v>57</v>
      </c>
      <c r="AP62" t="s">
        <v>62</v>
      </c>
      <c r="AS62" t="s">
        <v>57</v>
      </c>
      <c r="AT62" t="s">
        <v>57</v>
      </c>
      <c r="AU62" t="s">
        <v>57</v>
      </c>
      <c r="AW62" t="s">
        <v>63</v>
      </c>
      <c r="AX62" t="s">
        <v>70</v>
      </c>
    </row>
    <row r="63" spans="1:50">
      <c r="A63">
        <v>22060398</v>
      </c>
      <c r="B63">
        <v>12414351</v>
      </c>
      <c r="C63" t="str">
        <f>"200830501342"</f>
        <v>200830501342</v>
      </c>
      <c r="D63" t="s">
        <v>226</v>
      </c>
      <c r="E63" t="s">
        <v>227</v>
      </c>
      <c r="F63" t="s">
        <v>228</v>
      </c>
      <c r="G63" s="1">
        <v>44073</v>
      </c>
      <c r="I63" t="s">
        <v>54</v>
      </c>
      <c r="J63" t="s">
        <v>55</v>
      </c>
      <c r="K63" t="s">
        <v>56</v>
      </c>
      <c r="Q63" t="s">
        <v>57</v>
      </c>
      <c r="R63" t="str">
        <f t="shared" si="9"/>
        <v>-</v>
      </c>
      <c r="S63" t="str">
        <f t="shared" si="9"/>
        <v>-</v>
      </c>
      <c r="T63" t="str">
        <f t="shared" si="9"/>
        <v>-</v>
      </c>
      <c r="U63" t="str">
        <f t="shared" si="9"/>
        <v>-</v>
      </c>
      <c r="V63" t="str">
        <f>"2022-03-09T00:00:00"</f>
        <v>2022-03-09T00:00:00</v>
      </c>
      <c r="X63" t="str">
        <f>"Балдәурен"</f>
        <v>Балдәурен</v>
      </c>
      <c r="Y63" t="s">
        <v>66</v>
      </c>
      <c r="AA63" t="s">
        <v>59</v>
      </c>
      <c r="AC63" t="s">
        <v>60</v>
      </c>
      <c r="AD63" t="s">
        <v>60</v>
      </c>
      <c r="AE63" t="s">
        <v>61</v>
      </c>
      <c r="AG63" t="s">
        <v>57</v>
      </c>
      <c r="AH63" t="s">
        <v>57</v>
      </c>
      <c r="AN63" t="s">
        <v>57</v>
      </c>
      <c r="AP63" t="s">
        <v>62</v>
      </c>
      <c r="AS63" t="s">
        <v>57</v>
      </c>
      <c r="AT63" t="s">
        <v>57</v>
      </c>
      <c r="AU63" t="s">
        <v>57</v>
      </c>
      <c r="AW63" t="s">
        <v>63</v>
      </c>
      <c r="AX63" t="s">
        <v>57</v>
      </c>
    </row>
    <row r="64" spans="1:50">
      <c r="A64">
        <v>22003089</v>
      </c>
      <c r="B64">
        <v>11709573</v>
      </c>
      <c r="C64" t="str">
        <f>"190211501194"</f>
        <v>190211501194</v>
      </c>
      <c r="D64" t="s">
        <v>229</v>
      </c>
      <c r="E64" t="s">
        <v>230</v>
      </c>
      <c r="G64" s="1">
        <v>43507</v>
      </c>
      <c r="I64" t="s">
        <v>54</v>
      </c>
      <c r="J64" t="s">
        <v>55</v>
      </c>
      <c r="K64" t="s">
        <v>56</v>
      </c>
      <c r="Q64" t="s">
        <v>57</v>
      </c>
      <c r="R64" t="str">
        <f>"КАЗАХСТАН, АБАЙ, Кокпектинский, Кокпекты, 36, 9"</f>
        <v>КАЗАХСТАН, АБАЙ, Кокпектинский, Кокпекты, 36, 9</v>
      </c>
      <c r="S64" t="str">
        <f>"ҚАЗАҚСТАН, АБАЙ, Кокпектинский, Кокпекты, 36, 9"</f>
        <v>ҚАЗАҚСТАН, АБАЙ, Кокпектинский, Кокпекты, 36, 9</v>
      </c>
      <c r="T64" t="str">
        <f>"Кокпектинский, Кокпекты, 36, 9"</f>
        <v>Кокпектинский, Кокпекты, 36, 9</v>
      </c>
      <c r="U64" t="str">
        <f>"Кокпектинский, Кокпекты, 36, 9"</f>
        <v>Кокпектинский, Кокпекты, 36, 9</v>
      </c>
      <c r="V64" t="str">
        <f>"2022-02-28T00:00:00"</f>
        <v>2022-02-28T00:00:00</v>
      </c>
      <c r="X64" t="str">
        <f>"Балапан"</f>
        <v>Балапан</v>
      </c>
      <c r="Y64" t="s">
        <v>58</v>
      </c>
      <c r="AA64" t="s">
        <v>59</v>
      </c>
      <c r="AC64" t="s">
        <v>60</v>
      </c>
      <c r="AD64" t="s">
        <v>60</v>
      </c>
      <c r="AE64" t="s">
        <v>61</v>
      </c>
      <c r="AG64" t="s">
        <v>57</v>
      </c>
      <c r="AH64" t="s">
        <v>57</v>
      </c>
      <c r="AN64" t="s">
        <v>57</v>
      </c>
      <c r="AP64" t="s">
        <v>62</v>
      </c>
      <c r="AS64" t="s">
        <v>57</v>
      </c>
      <c r="AT64" t="s">
        <v>57</v>
      </c>
      <c r="AU64" t="s">
        <v>57</v>
      </c>
      <c r="AW64" t="s">
        <v>63</v>
      </c>
      <c r="AX64" t="s">
        <v>57</v>
      </c>
    </row>
    <row r="65" spans="1:50">
      <c r="A65">
        <v>21994783</v>
      </c>
      <c r="B65">
        <v>12386198</v>
      </c>
      <c r="C65" t="str">
        <f>"200808502152"</f>
        <v>200808502152</v>
      </c>
      <c r="D65" t="s">
        <v>231</v>
      </c>
      <c r="E65" t="s">
        <v>232</v>
      </c>
      <c r="F65" t="s">
        <v>233</v>
      </c>
      <c r="G65" s="1">
        <v>44051</v>
      </c>
      <c r="I65" t="s">
        <v>54</v>
      </c>
      <c r="J65" t="s">
        <v>55</v>
      </c>
      <c r="K65" t="s">
        <v>56</v>
      </c>
      <c r="Q65" t="s">
        <v>57</v>
      </c>
      <c r="R65" t="str">
        <f>"-"</f>
        <v>-</v>
      </c>
      <c r="S65" t="str">
        <f>"-"</f>
        <v>-</v>
      </c>
      <c r="T65" t="str">
        <f>"-"</f>
        <v>-</v>
      </c>
      <c r="U65" t="str">
        <f>"-"</f>
        <v>-</v>
      </c>
      <c r="V65" t="str">
        <f>"2022-02-23T00:00:00"</f>
        <v>2022-02-23T00:00:00</v>
      </c>
      <c r="X65" t="str">
        <f>"Балдәурен"</f>
        <v>Балдәурен</v>
      </c>
      <c r="Y65" t="s">
        <v>66</v>
      </c>
      <c r="AA65" t="s">
        <v>59</v>
      </c>
      <c r="AC65" t="s">
        <v>60</v>
      </c>
      <c r="AD65" t="s">
        <v>60</v>
      </c>
      <c r="AE65" t="s">
        <v>61</v>
      </c>
      <c r="AG65" t="s">
        <v>57</v>
      </c>
      <c r="AH65" t="s">
        <v>57</v>
      </c>
      <c r="AN65" t="s">
        <v>57</v>
      </c>
      <c r="AP65" t="s">
        <v>62</v>
      </c>
      <c r="AS65" t="s">
        <v>57</v>
      </c>
      <c r="AT65" t="s">
        <v>57</v>
      </c>
      <c r="AU65" t="s">
        <v>57</v>
      </c>
      <c r="AW65" t="s">
        <v>63</v>
      </c>
      <c r="AX65" t="s">
        <v>70</v>
      </c>
    </row>
    <row r="66" spans="1:50">
      <c r="A66">
        <v>21994756</v>
      </c>
      <c r="B66">
        <v>12386189</v>
      </c>
      <c r="C66" t="str">
        <f>"191128505288"</f>
        <v>191128505288</v>
      </c>
      <c r="D66" t="s">
        <v>234</v>
      </c>
      <c r="E66" t="s">
        <v>235</v>
      </c>
      <c r="F66" t="s">
        <v>236</v>
      </c>
      <c r="G66" s="1">
        <v>43797</v>
      </c>
      <c r="I66" t="s">
        <v>54</v>
      </c>
      <c r="J66" t="s">
        <v>55</v>
      </c>
      <c r="K66" t="s">
        <v>56</v>
      </c>
      <c r="Q66" t="s">
        <v>57</v>
      </c>
      <c r="R66" t="str">
        <f>"КАЗАХСТАН, В-КАЗАХСТАНСКАЯ, КОКПЕКТИНСКИЙ Р-Н, АУЫЛДЫҚ ОКРУГІ Кокпектинский, АУЫЛЫ Кокпекты, 43"</f>
        <v>КАЗАХСТАН, В-КАЗАХСТАНСКАЯ, КОКПЕКТИНСКИЙ Р-Н, АУЫЛДЫҚ ОКРУГІ Кокпектинский, АУЫЛЫ Кокпекты, 43</v>
      </c>
      <c r="S66" t="str">
        <f>"ҚАЗАҚСТАН, ШЫҒ-ҚАЗАҚСТАН, КӨКПЕКТІ АУДАНЫ, АУЫЛДЫҚ ОКРУГІ Кокпектинский, АУЫЛЫ Кокпекты, 43"</f>
        <v>ҚАЗАҚСТАН, ШЫҒ-ҚАЗАҚСТАН, КӨКПЕКТІ АУДАНЫ, АУЫЛДЫҚ ОКРУГІ Кокпектинский, АУЫЛЫ Кокпекты, 43</v>
      </c>
      <c r="T66" t="str">
        <f>"АУЫЛДЫҚ ОКРУГІ Кокпектинский, АУЫЛЫ Кокпекты, 43"</f>
        <v>АУЫЛДЫҚ ОКРУГІ Кокпектинский, АУЫЛЫ Кокпекты, 43</v>
      </c>
      <c r="U66" t="str">
        <f>"АУЫЛДЫҚ ОКРУГІ Кокпектинский, АУЫЛЫ Кокпекты, 43"</f>
        <v>АУЫЛДЫҚ ОКРУГІ Кокпектинский, АУЫЛЫ Кокпекты, 43</v>
      </c>
      <c r="V66" t="str">
        <f>"2022-02-24T00:00:00"</f>
        <v>2022-02-24T00:00:00</v>
      </c>
      <c r="X66" t="str">
        <f>"Қошақан"</f>
        <v>Қошақан</v>
      </c>
      <c r="Y66" t="s">
        <v>66</v>
      </c>
      <c r="AA66" t="s">
        <v>59</v>
      </c>
      <c r="AC66" t="s">
        <v>60</v>
      </c>
      <c r="AD66" t="s">
        <v>60</v>
      </c>
      <c r="AE66" t="s">
        <v>61</v>
      </c>
      <c r="AG66" t="s">
        <v>57</v>
      </c>
      <c r="AH66" t="s">
        <v>57</v>
      </c>
      <c r="AN66" t="s">
        <v>57</v>
      </c>
      <c r="AP66" t="s">
        <v>62</v>
      </c>
      <c r="AS66" t="s">
        <v>57</v>
      </c>
      <c r="AT66" t="s">
        <v>57</v>
      </c>
      <c r="AU66" t="s">
        <v>57</v>
      </c>
      <c r="AW66" t="s">
        <v>63</v>
      </c>
      <c r="AX66" t="s">
        <v>70</v>
      </c>
    </row>
    <row r="67" spans="1:50">
      <c r="A67">
        <v>21891878</v>
      </c>
      <c r="B67">
        <v>12327163</v>
      </c>
      <c r="C67" t="str">
        <f>"200228603342"</f>
        <v>200228603342</v>
      </c>
      <c r="D67" t="s">
        <v>237</v>
      </c>
      <c r="E67" t="s">
        <v>238</v>
      </c>
      <c r="F67" t="s">
        <v>239</v>
      </c>
      <c r="G67" s="1">
        <v>43889</v>
      </c>
      <c r="I67" t="s">
        <v>74</v>
      </c>
      <c r="J67" t="s">
        <v>55</v>
      </c>
      <c r="K67" t="s">
        <v>56</v>
      </c>
      <c r="Q67" t="s">
        <v>57</v>
      </c>
      <c r="R67" t="str">
        <f t="shared" ref="R67:U69" si="10">"-"</f>
        <v>-</v>
      </c>
      <c r="S67" t="str">
        <f t="shared" si="10"/>
        <v>-</v>
      </c>
      <c r="T67" t="str">
        <f t="shared" si="10"/>
        <v>-</v>
      </c>
      <c r="U67" t="str">
        <f t="shared" si="10"/>
        <v>-</v>
      </c>
      <c r="V67" t="str">
        <f>"2022-01-31T00:00:00"</f>
        <v>2022-01-31T00:00:00</v>
      </c>
      <c r="X67" t="str">
        <f>"Ромашка"</f>
        <v>Ромашка</v>
      </c>
      <c r="Y67" t="s">
        <v>58</v>
      </c>
      <c r="AA67" t="s">
        <v>122</v>
      </c>
      <c r="AC67" t="s">
        <v>60</v>
      </c>
      <c r="AD67" t="s">
        <v>60</v>
      </c>
      <c r="AE67" t="s">
        <v>61</v>
      </c>
      <c r="AG67" t="s">
        <v>57</v>
      </c>
      <c r="AH67" t="s">
        <v>57</v>
      </c>
      <c r="AN67" t="s">
        <v>57</v>
      </c>
      <c r="AP67" t="s">
        <v>62</v>
      </c>
      <c r="AS67" t="s">
        <v>57</v>
      </c>
      <c r="AT67" t="s">
        <v>57</v>
      </c>
      <c r="AU67" t="s">
        <v>57</v>
      </c>
      <c r="AW67" t="s">
        <v>63</v>
      </c>
      <c r="AX67" t="s">
        <v>57</v>
      </c>
    </row>
    <row r="68" spans="1:50">
      <c r="A68">
        <v>21879581</v>
      </c>
      <c r="B68">
        <v>12031065</v>
      </c>
      <c r="C68" t="str">
        <f>"200317600064"</f>
        <v>200317600064</v>
      </c>
      <c r="D68" t="s">
        <v>240</v>
      </c>
      <c r="E68" t="s">
        <v>241</v>
      </c>
      <c r="F68" t="s">
        <v>242</v>
      </c>
      <c r="G68" s="1">
        <v>43907</v>
      </c>
      <c r="I68" t="s">
        <v>74</v>
      </c>
      <c r="J68" t="s">
        <v>55</v>
      </c>
      <c r="K68" t="s">
        <v>56</v>
      </c>
      <c r="Q68" t="s">
        <v>57</v>
      </c>
      <c r="R68" t="str">
        <f t="shared" si="10"/>
        <v>-</v>
      </c>
      <c r="S68" t="str">
        <f t="shared" si="10"/>
        <v>-</v>
      </c>
      <c r="T68" t="str">
        <f t="shared" si="10"/>
        <v>-</v>
      </c>
      <c r="U68" t="str">
        <f t="shared" si="10"/>
        <v>-</v>
      </c>
      <c r="V68" t="str">
        <f>"2021-12-20T00:00:00"</f>
        <v>2021-12-20T00:00:00</v>
      </c>
      <c r="X68" t="str">
        <f>"Балдәурен"</f>
        <v>Балдәурен</v>
      </c>
      <c r="Y68" t="s">
        <v>66</v>
      </c>
      <c r="AA68" t="s">
        <v>59</v>
      </c>
      <c r="AC68" t="s">
        <v>60</v>
      </c>
      <c r="AD68" t="s">
        <v>60</v>
      </c>
      <c r="AE68" t="s">
        <v>61</v>
      </c>
      <c r="AG68" t="s">
        <v>57</v>
      </c>
      <c r="AH68" t="s">
        <v>57</v>
      </c>
      <c r="AN68" t="s">
        <v>57</v>
      </c>
      <c r="AP68" t="s">
        <v>62</v>
      </c>
      <c r="AS68" t="s">
        <v>57</v>
      </c>
      <c r="AT68" t="s">
        <v>57</v>
      </c>
      <c r="AU68" t="s">
        <v>57</v>
      </c>
      <c r="AW68" t="s">
        <v>63</v>
      </c>
      <c r="AX68" t="s">
        <v>57</v>
      </c>
    </row>
    <row r="69" spans="1:50">
      <c r="A69">
        <v>21879110</v>
      </c>
      <c r="B69">
        <v>12323370</v>
      </c>
      <c r="C69" t="str">
        <f>"200526605626"</f>
        <v>200526605626</v>
      </c>
      <c r="D69" t="s">
        <v>243</v>
      </c>
      <c r="E69" t="s">
        <v>244</v>
      </c>
      <c r="F69" t="s">
        <v>245</v>
      </c>
      <c r="G69" s="1">
        <v>43977</v>
      </c>
      <c r="I69" t="s">
        <v>74</v>
      </c>
      <c r="J69" t="s">
        <v>55</v>
      </c>
      <c r="K69" t="s">
        <v>56</v>
      </c>
      <c r="Q69" t="s">
        <v>57</v>
      </c>
      <c r="R69" t="str">
        <f t="shared" si="10"/>
        <v>-</v>
      </c>
      <c r="S69" t="str">
        <f t="shared" si="10"/>
        <v>-</v>
      </c>
      <c r="T69" t="str">
        <f t="shared" si="10"/>
        <v>-</v>
      </c>
      <c r="U69" t="str">
        <f t="shared" si="10"/>
        <v>-</v>
      </c>
      <c r="V69" t="str">
        <f>"2022-01-25T00:00:00"</f>
        <v>2022-01-25T00:00:00</v>
      </c>
      <c r="X69" t="str">
        <f>"Балдәурен"</f>
        <v>Балдәурен</v>
      </c>
      <c r="Y69" t="s">
        <v>66</v>
      </c>
      <c r="AA69" t="s">
        <v>59</v>
      </c>
      <c r="AC69" t="s">
        <v>60</v>
      </c>
      <c r="AD69" t="s">
        <v>60</v>
      </c>
      <c r="AE69" t="s">
        <v>61</v>
      </c>
      <c r="AG69" t="s">
        <v>57</v>
      </c>
      <c r="AH69" t="s">
        <v>57</v>
      </c>
      <c r="AN69" t="s">
        <v>57</v>
      </c>
      <c r="AP69" t="s">
        <v>62</v>
      </c>
      <c r="AS69" t="s">
        <v>57</v>
      </c>
      <c r="AT69" t="s">
        <v>57</v>
      </c>
      <c r="AU69" t="s">
        <v>57</v>
      </c>
      <c r="AW69" t="s">
        <v>63</v>
      </c>
      <c r="AX69" t="s">
        <v>57</v>
      </c>
    </row>
    <row r="70" spans="1:50">
      <c r="A70">
        <v>20631027</v>
      </c>
      <c r="B70">
        <v>11852851</v>
      </c>
      <c r="C70" t="str">
        <f>"181001601655"</f>
        <v>181001601655</v>
      </c>
      <c r="D70" t="s">
        <v>246</v>
      </c>
      <c r="E70" t="s">
        <v>247</v>
      </c>
      <c r="F70" t="s">
        <v>248</v>
      </c>
      <c r="G70" s="1">
        <v>43374</v>
      </c>
      <c r="I70" t="s">
        <v>74</v>
      </c>
      <c r="J70" t="s">
        <v>55</v>
      </c>
      <c r="K70" t="s">
        <v>121</v>
      </c>
      <c r="Q70" t="s">
        <v>57</v>
      </c>
      <c r="R70" t="str">
        <f>"КАЗАХСТАН, В-КАЗАХСТАНСКАЯ, КОКПЕКТИНСКИЙ Р-Н, АУЫЛДЫҚ ОКРУГІ Кокпектинский, АУЫЛЫ Кокпекты, 1, 1"</f>
        <v>КАЗАХСТАН, В-КАЗАХСТАНСКАЯ, КОКПЕКТИНСКИЙ Р-Н, АУЫЛДЫҚ ОКРУГІ Кокпектинский, АУЫЛЫ Кокпекты, 1, 1</v>
      </c>
      <c r="S70" t="str">
        <f>"ҚАЗАҚСТАН, ШЫҒ-ҚАЗАҚСТАН, КӨКПЕКТІ АУДАНЫ, АУЫЛДЫҚ ОКРУГІ Кокпектинский, АУЫЛЫ Кокпекты, 1, 1"</f>
        <v>ҚАЗАҚСТАН, ШЫҒ-ҚАЗАҚСТАН, КӨКПЕКТІ АУДАНЫ, АУЫЛДЫҚ ОКРУГІ Кокпектинский, АУЫЛЫ Кокпекты, 1, 1</v>
      </c>
      <c r="T70" t="str">
        <f>"АУЫЛДЫҚ ОКРУГІ Кокпектинский, АУЫЛЫ Кокпекты, 1, 1"</f>
        <v>АУЫЛДЫҚ ОКРУГІ Кокпектинский, АУЫЛЫ Кокпекты, 1, 1</v>
      </c>
      <c r="U70" t="str">
        <f>"АУЫЛДЫҚ ОКРУГІ Кокпектинский, АУЫЛЫ Кокпекты, 1, 1"</f>
        <v>АУЫЛДЫҚ ОКРУГІ Кокпектинский, АУЫЛЫ Кокпекты, 1, 1</v>
      </c>
      <c r="V70" t="str">
        <f>"2021-08-23T00:00:00"</f>
        <v>2021-08-23T00:00:00</v>
      </c>
      <c r="X70" t="str">
        <f>"Ромашка"</f>
        <v>Ромашка</v>
      </c>
      <c r="Y70" t="s">
        <v>58</v>
      </c>
      <c r="AA70" t="s">
        <v>122</v>
      </c>
      <c r="AC70" t="s">
        <v>60</v>
      </c>
      <c r="AD70" t="s">
        <v>60</v>
      </c>
      <c r="AE70" t="s">
        <v>61</v>
      </c>
      <c r="AG70" t="s">
        <v>57</v>
      </c>
      <c r="AH70" t="s">
        <v>57</v>
      </c>
      <c r="AN70" t="s">
        <v>57</v>
      </c>
      <c r="AP70" t="s">
        <v>62</v>
      </c>
      <c r="AS70" t="s">
        <v>57</v>
      </c>
      <c r="AT70" t="s">
        <v>57</v>
      </c>
      <c r="AU70" t="s">
        <v>57</v>
      </c>
      <c r="AW70" t="s">
        <v>63</v>
      </c>
      <c r="AX70" t="s">
        <v>57</v>
      </c>
    </row>
    <row r="71" spans="1:50">
      <c r="A71">
        <v>20630041</v>
      </c>
      <c r="B71">
        <v>11852742</v>
      </c>
      <c r="C71" t="str">
        <f>"190513505169"</f>
        <v>190513505169</v>
      </c>
      <c r="D71" t="s">
        <v>249</v>
      </c>
      <c r="E71" t="s">
        <v>250</v>
      </c>
      <c r="F71" t="s">
        <v>251</v>
      </c>
      <c r="G71" s="1">
        <v>43598</v>
      </c>
      <c r="I71" t="s">
        <v>54</v>
      </c>
      <c r="J71" t="s">
        <v>55</v>
      </c>
      <c r="K71" t="s">
        <v>56</v>
      </c>
      <c r="Q71" t="s">
        <v>57</v>
      </c>
      <c r="R71" t="str">
        <f>"КАЗАХСТАН, В-КАЗАХСТАНСКАЯ, КОКПЕКТИНСКИЙ Р-Н, Кокпектинский, Кокпекты, 13, 2"</f>
        <v>КАЗАХСТАН, В-КАЗАХСТАНСКАЯ, КОКПЕКТИНСКИЙ Р-Н, Кокпектинский, Кокпекты, 13, 2</v>
      </c>
      <c r="S71" t="str">
        <f>"ҚАЗАҚСТАН, ШЫҒ-ҚАЗАҚСТАН, КӨКПЕКТІ АУДАНЫ, Кокпектинский, Кокпекты, 13, 2"</f>
        <v>ҚАЗАҚСТАН, ШЫҒ-ҚАЗАҚСТАН, КӨКПЕКТІ АУДАНЫ, Кокпектинский, Кокпекты, 13, 2</v>
      </c>
      <c r="T71" t="str">
        <f>"Кокпектинский, Кокпекты, 13, 2"</f>
        <v>Кокпектинский, Кокпекты, 13, 2</v>
      </c>
      <c r="U71" t="str">
        <f>"Кокпектинский, Кокпекты, 13, 2"</f>
        <v>Кокпектинский, Кокпекты, 13, 2</v>
      </c>
      <c r="V71" t="str">
        <f>"2021-09-01T00:00:00"</f>
        <v>2021-09-01T00:00:00</v>
      </c>
      <c r="X71" t="str">
        <f>"Ромашка"</f>
        <v>Ромашка</v>
      </c>
      <c r="Y71" t="s">
        <v>58</v>
      </c>
      <c r="AA71" t="s">
        <v>122</v>
      </c>
      <c r="AC71" t="s">
        <v>60</v>
      </c>
      <c r="AD71" t="s">
        <v>60</v>
      </c>
      <c r="AE71" t="s">
        <v>61</v>
      </c>
      <c r="AG71" t="s">
        <v>57</v>
      </c>
      <c r="AH71" t="s">
        <v>57</v>
      </c>
      <c r="AN71" t="s">
        <v>57</v>
      </c>
      <c r="AP71" t="s">
        <v>62</v>
      </c>
      <c r="AS71" t="s">
        <v>57</v>
      </c>
      <c r="AT71" t="s">
        <v>57</v>
      </c>
      <c r="AU71" t="s">
        <v>57</v>
      </c>
      <c r="AW71" t="s">
        <v>63</v>
      </c>
      <c r="AX71" t="s">
        <v>57</v>
      </c>
    </row>
    <row r="72" spans="1:50">
      <c r="A72">
        <v>20625490</v>
      </c>
      <c r="B72">
        <v>11851797</v>
      </c>
      <c r="C72" t="str">
        <f>"190301504702"</f>
        <v>190301504702</v>
      </c>
      <c r="D72" t="s">
        <v>252</v>
      </c>
      <c r="E72" t="s">
        <v>253</v>
      </c>
      <c r="F72" t="s">
        <v>254</v>
      </c>
      <c r="G72" s="1">
        <v>43525</v>
      </c>
      <c r="I72" t="s">
        <v>54</v>
      </c>
      <c r="J72" t="s">
        <v>55</v>
      </c>
      <c r="K72" t="s">
        <v>56</v>
      </c>
      <c r="Q72" t="s">
        <v>57</v>
      </c>
      <c r="R72" t="str">
        <f>"КАЗАХСТАН, В-КАЗАХСТАНСКАЯ, КОКПЕКТИНСКИЙ Р-Н, Кокпектинский, Кокпекты, 9"</f>
        <v>КАЗАХСТАН, В-КАЗАХСТАНСКАЯ, КОКПЕКТИНСКИЙ Р-Н, Кокпектинский, Кокпекты, 9</v>
      </c>
      <c r="S72" t="str">
        <f>"ҚАЗАҚСТАН, ШЫҒ-ҚАЗАҚСТАН, КӨКПЕКТІ АУДАНЫ, Кокпектинский, Кокпекты, 9"</f>
        <v>ҚАЗАҚСТАН, ШЫҒ-ҚАЗАҚСТАН, КӨКПЕКТІ АУДАНЫ, Кокпектинский, Кокпекты, 9</v>
      </c>
      <c r="T72" t="str">
        <f>"Кокпектинский, Кокпекты, 9"</f>
        <v>Кокпектинский, Кокпекты, 9</v>
      </c>
      <c r="U72" t="str">
        <f>"Кокпектинский, Кокпекты, 9"</f>
        <v>Кокпектинский, Кокпекты, 9</v>
      </c>
      <c r="V72" t="str">
        <f>"2021-09-08T00:00:00"</f>
        <v>2021-09-08T00:00:00</v>
      </c>
      <c r="X72" t="str">
        <f>"Балапан"</f>
        <v>Балапан</v>
      </c>
      <c r="Y72" t="s">
        <v>58</v>
      </c>
      <c r="AA72" t="s">
        <v>59</v>
      </c>
      <c r="AC72" t="s">
        <v>60</v>
      </c>
      <c r="AD72" t="s">
        <v>60</v>
      </c>
      <c r="AE72" t="s">
        <v>61</v>
      </c>
      <c r="AG72" t="s">
        <v>57</v>
      </c>
      <c r="AH72" t="s">
        <v>57</v>
      </c>
      <c r="AN72" t="s">
        <v>57</v>
      </c>
      <c r="AP72" t="s">
        <v>62</v>
      </c>
      <c r="AS72" t="s">
        <v>57</v>
      </c>
      <c r="AT72" t="s">
        <v>57</v>
      </c>
      <c r="AU72" t="s">
        <v>57</v>
      </c>
      <c r="AW72" t="s">
        <v>63</v>
      </c>
      <c r="AX72" t="s">
        <v>70</v>
      </c>
    </row>
    <row r="73" spans="1:50">
      <c r="A73">
        <v>20341026</v>
      </c>
      <c r="B73">
        <v>10262985</v>
      </c>
      <c r="C73" t="str">
        <f>"190208503273"</f>
        <v>190208503273</v>
      </c>
      <c r="D73" t="s">
        <v>255</v>
      </c>
      <c r="E73" t="s">
        <v>256</v>
      </c>
      <c r="F73" t="s">
        <v>257</v>
      </c>
      <c r="G73" s="1">
        <v>43504</v>
      </c>
      <c r="I73" t="s">
        <v>54</v>
      </c>
      <c r="J73" t="s">
        <v>55</v>
      </c>
      <c r="K73" t="s">
        <v>56</v>
      </c>
      <c r="Q73" t="s">
        <v>57</v>
      </c>
      <c r="R73" t="str">
        <f>"КАЗАХСТАН, В-КАЗАХСТАНСКАЯ, КОКПЕКТИНСКИЙ Р-Н, Кокпектинский, Кокпекты, 39, 2"</f>
        <v>КАЗАХСТАН, В-КАЗАХСТАНСКАЯ, КОКПЕКТИНСКИЙ Р-Н, Кокпектинский, Кокпекты, 39, 2</v>
      </c>
      <c r="S73" t="str">
        <f>"ҚАЗАҚСТАН, ШЫҒ-ҚАЗАҚСТАН, КӨКПЕКТІ АУДАНЫ, Кокпектинский, Кокпекты, 39, 2"</f>
        <v>ҚАЗАҚСТАН, ШЫҒ-ҚАЗАҚСТАН, КӨКПЕКТІ АУДАНЫ, Кокпектинский, Кокпекты, 39, 2</v>
      </c>
      <c r="T73" t="str">
        <f>"Кокпектинский, Кокпекты, 39, 2"</f>
        <v>Кокпектинский, Кокпекты, 39, 2</v>
      </c>
      <c r="U73" t="str">
        <f>"Кокпектинский, Кокпекты, 39, 2"</f>
        <v>Кокпектинский, Кокпекты, 39, 2</v>
      </c>
      <c r="V73" t="str">
        <f>"2021-09-01T00:00:00"</f>
        <v>2021-09-01T00:00:00</v>
      </c>
      <c r="X73" t="str">
        <f>"Ромашка"</f>
        <v>Ромашка</v>
      </c>
      <c r="Y73" t="s">
        <v>58</v>
      </c>
      <c r="AA73" t="s">
        <v>122</v>
      </c>
      <c r="AC73" t="s">
        <v>60</v>
      </c>
      <c r="AD73" t="s">
        <v>60</v>
      </c>
      <c r="AE73" t="s">
        <v>61</v>
      </c>
      <c r="AG73" t="s">
        <v>57</v>
      </c>
      <c r="AH73" t="s">
        <v>57</v>
      </c>
      <c r="AN73" t="s">
        <v>57</v>
      </c>
      <c r="AP73" t="s">
        <v>62</v>
      </c>
      <c r="AS73" t="s">
        <v>57</v>
      </c>
      <c r="AT73" t="s">
        <v>57</v>
      </c>
      <c r="AU73" t="s">
        <v>57</v>
      </c>
      <c r="AW73" t="s">
        <v>63</v>
      </c>
      <c r="AX73" t="s">
        <v>57</v>
      </c>
    </row>
    <row r="74" spans="1:50">
      <c r="A74">
        <v>20340686</v>
      </c>
      <c r="B74">
        <v>11739389</v>
      </c>
      <c r="C74" t="str">
        <f>"181121502471"</f>
        <v>181121502471</v>
      </c>
      <c r="D74" t="s">
        <v>136</v>
      </c>
      <c r="E74" t="s">
        <v>258</v>
      </c>
      <c r="F74" t="s">
        <v>138</v>
      </c>
      <c r="G74" s="1">
        <v>43425</v>
      </c>
      <c r="I74" t="s">
        <v>54</v>
      </c>
      <c r="J74" t="s">
        <v>55</v>
      </c>
      <c r="K74" t="s">
        <v>56</v>
      </c>
      <c r="Q74" t="s">
        <v>57</v>
      </c>
      <c r="R74" t="str">
        <f>"КАЗАХСТАН, В-КАЗАХСТАНСКАЯ, КОКПЕКТИНСКИЙ Р-Н, Кокпектинский, Кокпекты, 77"</f>
        <v>КАЗАХСТАН, В-КАЗАХСТАНСКАЯ, КОКПЕКТИНСКИЙ Р-Н, Кокпектинский, Кокпекты, 77</v>
      </c>
      <c r="S74" t="str">
        <f>"ҚАЗАҚСТАН, ШЫҒ-ҚАЗАҚСТАН, КӨКПЕКТІ АУДАНЫ, Кокпектинский, Кокпекты, 77"</f>
        <v>ҚАЗАҚСТАН, ШЫҒ-ҚАЗАҚСТАН, КӨКПЕКТІ АУДАНЫ, Кокпектинский, Кокпекты, 77</v>
      </c>
      <c r="T74" t="str">
        <f>"Кокпектинский, Кокпекты, 77"</f>
        <v>Кокпектинский, Кокпекты, 77</v>
      </c>
      <c r="U74" t="str">
        <f>"Кокпектинский, Кокпекты, 77"</f>
        <v>Кокпектинский, Кокпекты, 77</v>
      </c>
      <c r="V74" t="str">
        <f>"2021-08-31T00:00:00"</f>
        <v>2021-08-31T00:00:00</v>
      </c>
      <c r="X74" t="str">
        <f>"Ромашка"</f>
        <v>Ромашка</v>
      </c>
      <c r="Y74" t="s">
        <v>58</v>
      </c>
      <c r="AA74" t="s">
        <v>122</v>
      </c>
      <c r="AC74" t="s">
        <v>60</v>
      </c>
      <c r="AD74" t="s">
        <v>60</v>
      </c>
      <c r="AE74" t="s">
        <v>61</v>
      </c>
      <c r="AG74" t="s">
        <v>57</v>
      </c>
      <c r="AH74" t="s">
        <v>57</v>
      </c>
      <c r="AN74" t="s">
        <v>57</v>
      </c>
      <c r="AP74" t="s">
        <v>62</v>
      </c>
      <c r="AS74" t="s">
        <v>57</v>
      </c>
      <c r="AT74" t="s">
        <v>57</v>
      </c>
      <c r="AU74" t="s">
        <v>57</v>
      </c>
      <c r="AW74" t="s">
        <v>63</v>
      </c>
      <c r="AX74" t="s">
        <v>70</v>
      </c>
    </row>
    <row r="75" spans="1:50">
      <c r="A75">
        <v>20148807</v>
      </c>
      <c r="B75">
        <v>11703031</v>
      </c>
      <c r="C75" t="str">
        <f>"190712500132"</f>
        <v>190712500132</v>
      </c>
      <c r="D75" t="s">
        <v>259</v>
      </c>
      <c r="E75" t="s">
        <v>174</v>
      </c>
      <c r="G75" s="1">
        <v>43658</v>
      </c>
      <c r="I75" t="s">
        <v>54</v>
      </c>
      <c r="J75" t="s">
        <v>55</v>
      </c>
      <c r="K75" t="s">
        <v>56</v>
      </c>
      <c r="Q75" t="s">
        <v>57</v>
      </c>
      <c r="R75" t="str">
        <f>"КАЗАХСТАН, В-КАЗАХСТАНСКАЯ, КОКПЕКТИНСКИЙ Р-Н, АУЫЛДЫҚ ОКРУГІ Кокпектинский, АУЫЛЫ Кокпекты, 43, 2"</f>
        <v>КАЗАХСТАН, В-КАЗАХСТАНСКАЯ, КОКПЕКТИНСКИЙ Р-Н, АУЫЛДЫҚ ОКРУГІ Кокпектинский, АУЫЛЫ Кокпекты, 43, 2</v>
      </c>
      <c r="S75" t="str">
        <f>"ҚАЗАҚСТАН, ШЫҒ-ҚАЗАҚСТАН, КӨКПЕКТІ АУДАНЫ, АУЫЛДЫҚ ОКРУГІ Кокпектинский, АУЫЛЫ Кокпекты, 43, 2"</f>
        <v>ҚАЗАҚСТАН, ШЫҒ-ҚАЗАҚСТАН, КӨКПЕКТІ АУДАНЫ, АУЫЛДЫҚ ОКРУГІ Кокпектинский, АУЫЛЫ Кокпекты, 43, 2</v>
      </c>
      <c r="T75" t="str">
        <f>"АУЫЛДЫҚ ОКРУГІ Кокпектинский, АУЫЛЫ Кокпекты, 43, 2"</f>
        <v>АУЫЛДЫҚ ОКРУГІ Кокпектинский, АУЫЛЫ Кокпекты, 43, 2</v>
      </c>
      <c r="U75" t="str">
        <f>"АУЫЛДЫҚ ОКРУГІ Кокпектинский, АУЫЛЫ Кокпекты, 43, 2"</f>
        <v>АУЫЛДЫҚ ОКРУГІ Кокпектинский, АУЫЛЫ Кокпекты, 43, 2</v>
      </c>
      <c r="V75" t="str">
        <f>"2021-08-24T00:00:00"</f>
        <v>2021-08-24T00:00:00</v>
      </c>
      <c r="X75" t="str">
        <f>"Ромашка"</f>
        <v>Ромашка</v>
      </c>
      <c r="Y75" t="s">
        <v>58</v>
      </c>
      <c r="AA75" t="s">
        <v>122</v>
      </c>
      <c r="AC75" t="s">
        <v>60</v>
      </c>
      <c r="AD75" t="s">
        <v>60</v>
      </c>
      <c r="AE75" t="s">
        <v>61</v>
      </c>
      <c r="AG75" t="s">
        <v>57</v>
      </c>
      <c r="AH75" t="s">
        <v>57</v>
      </c>
      <c r="AN75" t="s">
        <v>57</v>
      </c>
      <c r="AP75" t="s">
        <v>62</v>
      </c>
      <c r="AS75" t="s">
        <v>57</v>
      </c>
      <c r="AT75" t="s">
        <v>57</v>
      </c>
      <c r="AU75" t="s">
        <v>57</v>
      </c>
      <c r="AW75" t="s">
        <v>63</v>
      </c>
      <c r="AX75" t="s">
        <v>57</v>
      </c>
    </row>
    <row r="76" spans="1:50">
      <c r="A76">
        <v>20143597</v>
      </c>
      <c r="B76">
        <v>11702245</v>
      </c>
      <c r="C76" t="str">
        <f>"190222503011"</f>
        <v>190222503011</v>
      </c>
      <c r="D76" t="s">
        <v>260</v>
      </c>
      <c r="E76" t="s">
        <v>261</v>
      </c>
      <c r="F76" t="s">
        <v>262</v>
      </c>
      <c r="G76" s="1">
        <v>43518</v>
      </c>
      <c r="I76" t="s">
        <v>54</v>
      </c>
      <c r="J76" t="s">
        <v>55</v>
      </c>
      <c r="K76" t="s">
        <v>56</v>
      </c>
      <c r="Q76" t="s">
        <v>57</v>
      </c>
      <c r="R76" t="str">
        <f>"КАЗАХСТАН, В-КАЗАХСТАНСКАЯ, КОКПЕКТИНСКИЙ Р-Н, Кокпектинский, Кокпекты, 83, 1"</f>
        <v>КАЗАХСТАН, В-КАЗАХСТАНСКАЯ, КОКПЕКТИНСКИЙ Р-Н, Кокпектинский, Кокпекты, 83, 1</v>
      </c>
      <c r="S76" t="str">
        <f>"ҚАЗАҚСТАН, ШЫҒ-ҚАЗАҚСТАН, КӨКПЕКТІ АУДАНЫ, Кокпектинский, Кокпекты, 83, 1"</f>
        <v>ҚАЗАҚСТАН, ШЫҒ-ҚАЗАҚСТАН, КӨКПЕКТІ АУДАНЫ, Кокпектинский, Кокпекты, 83, 1</v>
      </c>
      <c r="T76" t="str">
        <f>"Кокпектинский, Кокпекты, 83, 1"</f>
        <v>Кокпектинский, Кокпекты, 83, 1</v>
      </c>
      <c r="U76" t="str">
        <f>"Кокпектинский, Кокпекты, 83, 1"</f>
        <v>Кокпектинский, Кокпекты, 83, 1</v>
      </c>
      <c r="V76" t="str">
        <f>"2021-08-20T00:00:00"</f>
        <v>2021-08-20T00:00:00</v>
      </c>
      <c r="X76" t="str">
        <f>"Балапан"</f>
        <v>Балапан</v>
      </c>
      <c r="Y76" t="s">
        <v>58</v>
      </c>
      <c r="AA76" t="s">
        <v>59</v>
      </c>
      <c r="AC76" t="s">
        <v>60</v>
      </c>
      <c r="AD76" t="s">
        <v>60</v>
      </c>
      <c r="AE76" t="s">
        <v>61</v>
      </c>
      <c r="AG76" t="s">
        <v>57</v>
      </c>
      <c r="AH76" t="s">
        <v>57</v>
      </c>
      <c r="AN76" t="s">
        <v>57</v>
      </c>
      <c r="AP76" t="s">
        <v>62</v>
      </c>
      <c r="AS76" t="s">
        <v>57</v>
      </c>
      <c r="AT76" t="s">
        <v>57</v>
      </c>
      <c r="AU76" t="s">
        <v>57</v>
      </c>
      <c r="AW76" t="s">
        <v>63</v>
      </c>
      <c r="AX76" t="s">
        <v>70</v>
      </c>
    </row>
    <row r="77" spans="1:50">
      <c r="A77">
        <v>20143147</v>
      </c>
      <c r="B77">
        <v>11702177</v>
      </c>
      <c r="C77" t="str">
        <f>"190916604613"</f>
        <v>190916604613</v>
      </c>
      <c r="D77" t="s">
        <v>263</v>
      </c>
      <c r="E77" t="s">
        <v>264</v>
      </c>
      <c r="F77" t="s">
        <v>265</v>
      </c>
      <c r="G77" s="1">
        <v>43724</v>
      </c>
      <c r="I77" t="s">
        <v>74</v>
      </c>
      <c r="J77" t="s">
        <v>55</v>
      </c>
      <c r="K77" t="s">
        <v>56</v>
      </c>
      <c r="Q77" t="s">
        <v>57</v>
      </c>
      <c r="R77" t="str">
        <f>"КАЗАХСТАН, В-КАЗАХСТАНСКАЯ, КОКПЕКТИНСКИЙ Р-Н, Кокпектинский, Кокпекты, 36, 6"</f>
        <v>КАЗАХСТАН, В-КАЗАХСТАНСКАЯ, КОКПЕКТИНСКИЙ Р-Н, Кокпектинский, Кокпекты, 36, 6</v>
      </c>
      <c r="S77" t="str">
        <f>"ҚАЗАҚСТАН, ШЫҒ-ҚАЗАҚСТАН, КӨКПЕКТІ АУДАНЫ, Кокпектинский, Кокпекты, 36, 6"</f>
        <v>ҚАЗАҚСТАН, ШЫҒ-ҚАЗАҚСТАН, КӨКПЕКТІ АУДАНЫ, Кокпектинский, Кокпекты, 36, 6</v>
      </c>
      <c r="T77" t="str">
        <f>"Кокпектинский, Кокпекты, 36, 6"</f>
        <v>Кокпектинский, Кокпекты, 36, 6</v>
      </c>
      <c r="U77" t="str">
        <f>"Кокпектинский, Кокпекты, 36, 6"</f>
        <v>Кокпектинский, Кокпекты, 36, 6</v>
      </c>
      <c r="V77" t="str">
        <f>"2021-08-23T00:00:00"</f>
        <v>2021-08-23T00:00:00</v>
      </c>
      <c r="X77" t="str">
        <f>"Ромашка"</f>
        <v>Ромашка</v>
      </c>
      <c r="Y77" t="s">
        <v>58</v>
      </c>
      <c r="AA77" t="s">
        <v>122</v>
      </c>
      <c r="AC77" t="s">
        <v>60</v>
      </c>
      <c r="AD77" t="s">
        <v>60</v>
      </c>
      <c r="AE77" t="s">
        <v>61</v>
      </c>
      <c r="AG77" t="s">
        <v>57</v>
      </c>
      <c r="AH77" t="s">
        <v>57</v>
      </c>
      <c r="AN77" t="s">
        <v>57</v>
      </c>
      <c r="AP77" t="s">
        <v>62</v>
      </c>
      <c r="AS77" t="s">
        <v>57</v>
      </c>
      <c r="AT77" t="s">
        <v>57</v>
      </c>
      <c r="AU77" t="s">
        <v>57</v>
      </c>
      <c r="AW77" t="s">
        <v>63</v>
      </c>
      <c r="AX77" t="s">
        <v>57</v>
      </c>
    </row>
    <row r="78" spans="1:50">
      <c r="A78">
        <v>20142623</v>
      </c>
      <c r="B78">
        <v>11702101</v>
      </c>
      <c r="C78" t="str">
        <f>"191222600412"</f>
        <v>191222600412</v>
      </c>
      <c r="D78" t="s">
        <v>266</v>
      </c>
      <c r="E78" t="s">
        <v>267</v>
      </c>
      <c r="F78" t="s">
        <v>268</v>
      </c>
      <c r="G78" s="1">
        <v>43821</v>
      </c>
      <c r="I78" t="s">
        <v>74</v>
      </c>
      <c r="J78" t="s">
        <v>55</v>
      </c>
      <c r="K78" t="s">
        <v>56</v>
      </c>
      <c r="Q78" t="s">
        <v>57</v>
      </c>
      <c r="R78" t="str">
        <f>"КАЗАХСТАН, В-КАЗАХСТАНСКАЯ, КОКПЕКТИНСКИЙ Р-Н, Кокпектинский, Кокпекты, 6, 2"</f>
        <v>КАЗАХСТАН, В-КАЗАХСТАНСКАЯ, КОКПЕКТИНСКИЙ Р-Н, Кокпектинский, Кокпекты, 6, 2</v>
      </c>
      <c r="S78" t="str">
        <f>"ҚАЗАҚСТАН, ШЫҒ-ҚАЗАҚСТАН, КӨКПЕКТІ АУДАНЫ, Кокпектинский, Кокпекты, 6, 2"</f>
        <v>ҚАЗАҚСТАН, ШЫҒ-ҚАЗАҚСТАН, КӨКПЕКТІ АУДАНЫ, Кокпектинский, Кокпекты, 6, 2</v>
      </c>
      <c r="T78" t="str">
        <f>"Кокпектинский, Кокпекты, 6, 2"</f>
        <v>Кокпектинский, Кокпекты, 6, 2</v>
      </c>
      <c r="U78" t="str">
        <f>"Кокпектинский, Кокпекты, 6, 2"</f>
        <v>Кокпектинский, Кокпекты, 6, 2</v>
      </c>
      <c r="V78" t="str">
        <f>"2021-08-25T00:00:00"</f>
        <v>2021-08-25T00:00:00</v>
      </c>
      <c r="X78" t="str">
        <f>"Балапан"</f>
        <v>Балапан</v>
      </c>
      <c r="Y78" t="s">
        <v>58</v>
      </c>
      <c r="AA78" t="s">
        <v>59</v>
      </c>
      <c r="AC78" t="s">
        <v>60</v>
      </c>
      <c r="AD78" t="s">
        <v>60</v>
      </c>
      <c r="AE78" t="s">
        <v>61</v>
      </c>
      <c r="AG78" t="s">
        <v>57</v>
      </c>
      <c r="AH78" t="s">
        <v>57</v>
      </c>
      <c r="AN78" t="s">
        <v>57</v>
      </c>
      <c r="AP78" t="s">
        <v>62</v>
      </c>
      <c r="AS78" t="s">
        <v>57</v>
      </c>
      <c r="AT78" t="s">
        <v>57</v>
      </c>
      <c r="AU78" t="s">
        <v>57</v>
      </c>
      <c r="AW78" t="s">
        <v>63</v>
      </c>
      <c r="AX78" t="s">
        <v>70</v>
      </c>
    </row>
    <row r="79" spans="1:50">
      <c r="A79">
        <v>20141935</v>
      </c>
      <c r="B79">
        <v>11701984</v>
      </c>
      <c r="C79" t="str">
        <f>"190301605201"</f>
        <v>190301605201</v>
      </c>
      <c r="D79" t="s">
        <v>269</v>
      </c>
      <c r="E79" t="s">
        <v>264</v>
      </c>
      <c r="F79" t="s">
        <v>270</v>
      </c>
      <c r="G79" s="1">
        <v>43525</v>
      </c>
      <c r="I79" t="s">
        <v>74</v>
      </c>
      <c r="J79" t="s">
        <v>55</v>
      </c>
      <c r="K79" t="s">
        <v>56</v>
      </c>
      <c r="Q79" t="s">
        <v>57</v>
      </c>
      <c r="R79" t="str">
        <f>"КАЗАХСТАН, В-КАЗАХСТАНСКАЯ, КОКПЕКТИНСКИЙ Р-Н, Самарский, Самарское, 277"</f>
        <v>КАЗАХСТАН, В-КАЗАХСТАНСКАЯ, КОКПЕКТИНСКИЙ Р-Н, Самарский, Самарское, 277</v>
      </c>
      <c r="S79" t="str">
        <f>"ҚАЗАҚСТАН, ШЫҒ-ҚАЗАҚСТАН, КӨКПЕКТІ АУДАНЫ, Самарский, Самарское, 277"</f>
        <v>ҚАЗАҚСТАН, ШЫҒ-ҚАЗАҚСТАН, КӨКПЕКТІ АУДАНЫ, Самарский, Самарское, 277</v>
      </c>
      <c r="T79" t="str">
        <f>"Самарский, Самарское, 277"</f>
        <v>Самарский, Самарское, 277</v>
      </c>
      <c r="U79" t="str">
        <f>"Самарский, Самарское, 277"</f>
        <v>Самарский, Самарское, 277</v>
      </c>
      <c r="V79" t="str">
        <f>"2021-08-05T00:00:00"</f>
        <v>2021-08-05T00:00:00</v>
      </c>
      <c r="X79" t="str">
        <f>"Балапан"</f>
        <v>Балапан</v>
      </c>
      <c r="Y79" t="s">
        <v>58</v>
      </c>
      <c r="AA79" t="s">
        <v>59</v>
      </c>
      <c r="AC79" t="s">
        <v>60</v>
      </c>
      <c r="AD79" t="s">
        <v>60</v>
      </c>
      <c r="AE79" t="s">
        <v>61</v>
      </c>
      <c r="AG79" t="s">
        <v>57</v>
      </c>
      <c r="AH79" t="s">
        <v>57</v>
      </c>
      <c r="AN79" t="s">
        <v>57</v>
      </c>
      <c r="AP79" t="s">
        <v>62</v>
      </c>
      <c r="AS79" t="s">
        <v>57</v>
      </c>
      <c r="AT79" t="s">
        <v>57</v>
      </c>
      <c r="AU79" t="s">
        <v>57</v>
      </c>
      <c r="AW79" t="s">
        <v>63</v>
      </c>
      <c r="AX79" t="s">
        <v>57</v>
      </c>
    </row>
    <row r="80" spans="1:50">
      <c r="A80">
        <v>20141764</v>
      </c>
      <c r="B80">
        <v>11701957</v>
      </c>
      <c r="C80" t="str">
        <f>"190527504385"</f>
        <v>190527504385</v>
      </c>
      <c r="D80" t="s">
        <v>271</v>
      </c>
      <c r="E80" t="s">
        <v>272</v>
      </c>
      <c r="F80" t="s">
        <v>273</v>
      </c>
      <c r="G80" s="1">
        <v>43612</v>
      </c>
      <c r="I80" t="s">
        <v>54</v>
      </c>
      <c r="J80" t="s">
        <v>55</v>
      </c>
      <c r="K80" t="s">
        <v>56</v>
      </c>
      <c r="Q80" t="s">
        <v>57</v>
      </c>
      <c r="R80" t="str">
        <f>"КАЗАХСТАН, В-КАЗАХСТАНСКАЯ, КОКПЕКТИНСКИЙ Р-Н, Кокпектинский, Кокпекты, 33"</f>
        <v>КАЗАХСТАН, В-КАЗАХСТАНСКАЯ, КОКПЕКТИНСКИЙ Р-Н, Кокпектинский, Кокпекты, 33</v>
      </c>
      <c r="S80" t="str">
        <f>"ҚАЗАҚСТАН, ШЫҒ-ҚАЗАҚСТАН, КӨКПЕКТІ АУДАНЫ, Кокпектинский, Кокпекты, 33"</f>
        <v>ҚАЗАҚСТАН, ШЫҒ-ҚАЗАҚСТАН, КӨКПЕКТІ АУДАНЫ, Кокпектинский, Кокпекты, 33</v>
      </c>
      <c r="T80" t="str">
        <f>"Кокпектинский, Кокпекты, 33"</f>
        <v>Кокпектинский, Кокпекты, 33</v>
      </c>
      <c r="U80" t="str">
        <f>"Кокпектинский, Кокпекты, 33"</f>
        <v>Кокпектинский, Кокпекты, 33</v>
      </c>
      <c r="V80" t="str">
        <f>"2021-08-17T00:00:00"</f>
        <v>2021-08-17T00:00:00</v>
      </c>
      <c r="X80" t="str">
        <f>"Балапан"</f>
        <v>Балапан</v>
      </c>
      <c r="Y80" t="s">
        <v>58</v>
      </c>
      <c r="AA80" t="s">
        <v>59</v>
      </c>
      <c r="AC80" t="s">
        <v>60</v>
      </c>
      <c r="AD80" t="s">
        <v>60</v>
      </c>
      <c r="AE80" t="s">
        <v>61</v>
      </c>
      <c r="AG80" t="s">
        <v>57</v>
      </c>
      <c r="AH80" t="s">
        <v>57</v>
      </c>
      <c r="AN80" t="s">
        <v>57</v>
      </c>
      <c r="AP80" t="s">
        <v>62</v>
      </c>
      <c r="AS80" t="s">
        <v>57</v>
      </c>
      <c r="AT80" t="s">
        <v>57</v>
      </c>
      <c r="AU80" t="s">
        <v>57</v>
      </c>
      <c r="AW80" t="s">
        <v>63</v>
      </c>
      <c r="AX80" t="s">
        <v>57</v>
      </c>
    </row>
    <row r="81" spans="1:50">
      <c r="A81">
        <v>20140970</v>
      </c>
      <c r="B81">
        <v>11701833</v>
      </c>
      <c r="C81" t="str">
        <f>"190413503426"</f>
        <v>190413503426</v>
      </c>
      <c r="D81" t="s">
        <v>82</v>
      </c>
      <c r="E81" t="s">
        <v>53</v>
      </c>
      <c r="F81" t="s">
        <v>84</v>
      </c>
      <c r="G81" s="1">
        <v>43568</v>
      </c>
      <c r="I81" t="s">
        <v>54</v>
      </c>
      <c r="J81" t="s">
        <v>55</v>
      </c>
      <c r="K81" t="s">
        <v>56</v>
      </c>
      <c r="Q81" t="s">
        <v>57</v>
      </c>
      <c r="R81" t="str">
        <f>"КАЗАХСТАН, В-КАЗАХСТАНСКАЯ, КОКПЕКТИНСКИЙ Р-Н, Кокпектинский, Кокпекты, 28"</f>
        <v>КАЗАХСТАН, В-КАЗАХСТАНСКАЯ, КОКПЕКТИНСКИЙ Р-Н, Кокпектинский, Кокпекты, 28</v>
      </c>
      <c r="S81" t="str">
        <f>"ҚАЗАҚСТАН, ШЫҒ-ҚАЗАҚСТАН, КӨКПЕКТІ АУДАНЫ, Кокпектинский, Кокпекты, 28"</f>
        <v>ҚАЗАҚСТАН, ШЫҒ-ҚАЗАҚСТАН, КӨКПЕКТІ АУДАНЫ, Кокпектинский, Кокпекты, 28</v>
      </c>
      <c r="T81" t="str">
        <f>"Кокпектинский, Кокпекты, 28"</f>
        <v>Кокпектинский, Кокпекты, 28</v>
      </c>
      <c r="U81" t="str">
        <f>"Кокпектинский, Кокпекты, 28"</f>
        <v>Кокпектинский, Кокпекты, 28</v>
      </c>
      <c r="V81" t="str">
        <f>"2021-08-18T00:00:00"</f>
        <v>2021-08-18T00:00:00</v>
      </c>
      <c r="X81" t="str">
        <f>"Балапан"</f>
        <v>Балапан</v>
      </c>
      <c r="Y81" t="s">
        <v>58</v>
      </c>
      <c r="AA81" t="s">
        <v>59</v>
      </c>
      <c r="AC81" t="s">
        <v>60</v>
      </c>
      <c r="AD81" t="s">
        <v>60</v>
      </c>
      <c r="AE81" t="s">
        <v>61</v>
      </c>
      <c r="AG81" t="s">
        <v>57</v>
      </c>
      <c r="AH81" t="s">
        <v>57</v>
      </c>
      <c r="AN81" t="s">
        <v>57</v>
      </c>
      <c r="AP81" t="s">
        <v>62</v>
      </c>
      <c r="AS81" t="s">
        <v>57</v>
      </c>
      <c r="AT81" t="s">
        <v>57</v>
      </c>
      <c r="AU81" t="s">
        <v>57</v>
      </c>
      <c r="AW81" t="s">
        <v>63</v>
      </c>
      <c r="AX81" t="s">
        <v>70</v>
      </c>
    </row>
    <row r="82" spans="1:50">
      <c r="A82">
        <v>20138658</v>
      </c>
      <c r="B82">
        <v>11701486</v>
      </c>
      <c r="C82" t="str">
        <f>"190607505378"</f>
        <v>190607505378</v>
      </c>
      <c r="D82" t="s">
        <v>274</v>
      </c>
      <c r="E82" t="s">
        <v>275</v>
      </c>
      <c r="F82" t="s">
        <v>276</v>
      </c>
      <c r="G82" s="1">
        <v>43623</v>
      </c>
      <c r="I82" t="s">
        <v>54</v>
      </c>
      <c r="J82" t="s">
        <v>55</v>
      </c>
      <c r="K82" t="s">
        <v>56</v>
      </c>
      <c r="Q82" t="s">
        <v>57</v>
      </c>
      <c r="R82" t="str">
        <f>"КАЗАХСТАН, В-КАЗАХСТАНСКАЯ, КОКПЕКТИНСКИЙ Р-Н, Кокпектинский, Кокпекты, 17"</f>
        <v>КАЗАХСТАН, В-КАЗАХСТАНСКАЯ, КОКПЕКТИНСКИЙ Р-Н, Кокпектинский, Кокпекты, 17</v>
      </c>
      <c r="S82" t="str">
        <f>"ҚАЗАҚСТАН, ШЫҒ-ҚАЗАҚСТАН, КӨКПЕКТІ АУДАНЫ, Кокпектинский, Кокпекты, 17"</f>
        <v>ҚАЗАҚСТАН, ШЫҒ-ҚАЗАҚСТАН, КӨКПЕКТІ АУДАНЫ, Кокпектинский, Кокпекты, 17</v>
      </c>
      <c r="T82" t="str">
        <f>"Кокпектинский, Кокпекты, 17"</f>
        <v>Кокпектинский, Кокпекты, 17</v>
      </c>
      <c r="U82" t="str">
        <f>"Кокпектинский, Кокпекты, 17"</f>
        <v>Кокпектинский, Кокпекты, 17</v>
      </c>
      <c r="V82" t="str">
        <f>"2021-08-09T00:00:00"</f>
        <v>2021-08-09T00:00:00</v>
      </c>
      <c r="X82" t="str">
        <f>"Ромашка"</f>
        <v>Ромашка</v>
      </c>
      <c r="Y82" t="s">
        <v>58</v>
      </c>
      <c r="AA82" t="s">
        <v>122</v>
      </c>
      <c r="AC82" t="s">
        <v>60</v>
      </c>
      <c r="AD82" t="s">
        <v>60</v>
      </c>
      <c r="AE82" t="s">
        <v>61</v>
      </c>
      <c r="AG82" t="s">
        <v>57</v>
      </c>
      <c r="AH82" t="s">
        <v>57</v>
      </c>
      <c r="AN82" t="s">
        <v>57</v>
      </c>
      <c r="AP82" t="s">
        <v>62</v>
      </c>
      <c r="AS82" t="s">
        <v>57</v>
      </c>
      <c r="AT82" t="s">
        <v>57</v>
      </c>
      <c r="AU82" t="s">
        <v>57</v>
      </c>
      <c r="AW82" t="s">
        <v>63</v>
      </c>
      <c r="AX82" t="s">
        <v>70</v>
      </c>
    </row>
    <row r="83" spans="1:50">
      <c r="A83">
        <v>20137848</v>
      </c>
      <c r="B83">
        <v>11701382</v>
      </c>
      <c r="C83" t="str">
        <f>"181230603508"</f>
        <v>181230603508</v>
      </c>
      <c r="D83" t="s">
        <v>277</v>
      </c>
      <c r="E83" t="s">
        <v>247</v>
      </c>
      <c r="F83" t="s">
        <v>278</v>
      </c>
      <c r="G83" s="1">
        <v>43464</v>
      </c>
      <c r="I83" t="s">
        <v>74</v>
      </c>
      <c r="J83" t="s">
        <v>55</v>
      </c>
      <c r="K83" t="s">
        <v>121</v>
      </c>
      <c r="Q83" t="s">
        <v>57</v>
      </c>
      <c r="R83" t="str">
        <f>"КАЗАХСТАН, В-КАЗАХСТАНСКАЯ, ЖАРМИНСКИЙ РАЙОН, Шар, 39"</f>
        <v>КАЗАХСТАН, В-КАЗАХСТАНСКАЯ, ЖАРМИНСКИЙ РАЙОН, Шар, 39</v>
      </c>
      <c r="S83" t="str">
        <f>"ҚАЗАҚСТАН, ШЫҒ-ҚАЗАҚСТАН, ЖАРМА АУДАНЫ, Шар, 39"</f>
        <v>ҚАЗАҚСТАН, ШЫҒ-ҚАЗАҚСТАН, ЖАРМА АУДАНЫ, Шар, 39</v>
      </c>
      <c r="T83" t="str">
        <f>"Шар, 39"</f>
        <v>Шар, 39</v>
      </c>
      <c r="U83" t="str">
        <f>"Шар, 39"</f>
        <v>Шар, 39</v>
      </c>
      <c r="V83" t="str">
        <f>"2021-08-02T00:00:00"</f>
        <v>2021-08-02T00:00:00</v>
      </c>
      <c r="X83" t="str">
        <f>"Ромашка"</f>
        <v>Ромашка</v>
      </c>
      <c r="Y83" t="s">
        <v>58</v>
      </c>
      <c r="AA83" t="s">
        <v>122</v>
      </c>
      <c r="AC83" t="s">
        <v>60</v>
      </c>
      <c r="AD83" t="s">
        <v>60</v>
      </c>
      <c r="AE83" t="s">
        <v>61</v>
      </c>
      <c r="AG83" t="s">
        <v>57</v>
      </c>
      <c r="AH83" t="s">
        <v>57</v>
      </c>
      <c r="AN83" t="s">
        <v>57</v>
      </c>
      <c r="AP83" t="s">
        <v>62</v>
      </c>
      <c r="AS83" t="s">
        <v>57</v>
      </c>
      <c r="AT83" t="s">
        <v>57</v>
      </c>
      <c r="AU83" t="s">
        <v>70</v>
      </c>
      <c r="AV83" t="s">
        <v>89</v>
      </c>
      <c r="AW83" t="s">
        <v>63</v>
      </c>
      <c r="AX83" t="s">
        <v>57</v>
      </c>
    </row>
    <row r="84" spans="1:50">
      <c r="A84">
        <v>20137773</v>
      </c>
      <c r="B84">
        <v>11701366</v>
      </c>
      <c r="C84" t="str">
        <f>"190717504437"</f>
        <v>190717504437</v>
      </c>
      <c r="D84" t="s">
        <v>197</v>
      </c>
      <c r="E84" t="s">
        <v>53</v>
      </c>
      <c r="F84" t="s">
        <v>279</v>
      </c>
      <c r="G84" s="1">
        <v>43663</v>
      </c>
      <c r="I84" t="s">
        <v>54</v>
      </c>
      <c r="J84" t="s">
        <v>55</v>
      </c>
      <c r="K84" t="s">
        <v>56</v>
      </c>
      <c r="Q84" t="s">
        <v>57</v>
      </c>
      <c r="R84" t="str">
        <f>"КАЗАХСТАН, В-КАЗАХСТАНСКАЯ, КОКПЕКТИНСКИЙ Р-Н, Кокпектинский, Кокпекты, 102, 1"</f>
        <v>КАЗАХСТАН, В-КАЗАХСТАНСКАЯ, КОКПЕКТИНСКИЙ Р-Н, Кокпектинский, Кокпекты, 102, 1</v>
      </c>
      <c r="S84" t="str">
        <f>"ҚАЗАҚСТАН, ШЫҒ-ҚАЗАҚСТАН, КӨКПЕКТІ АУДАНЫ, Кокпектинский, Кокпекты, 102, 1"</f>
        <v>ҚАЗАҚСТАН, ШЫҒ-ҚАЗАҚСТАН, КӨКПЕКТІ АУДАНЫ, Кокпектинский, Кокпекты, 102, 1</v>
      </c>
      <c r="T84" t="str">
        <f>"Кокпектинский, Кокпекты, 102, 1"</f>
        <v>Кокпектинский, Кокпекты, 102, 1</v>
      </c>
      <c r="U84" t="str">
        <f>"Кокпектинский, Кокпекты, 102, 1"</f>
        <v>Кокпектинский, Кокпекты, 102, 1</v>
      </c>
      <c r="V84" t="str">
        <f>"2021-08-10T00:00:00"</f>
        <v>2021-08-10T00:00:00</v>
      </c>
      <c r="X84" t="str">
        <f>"Ромашка"</f>
        <v>Ромашка</v>
      </c>
      <c r="Y84" t="s">
        <v>58</v>
      </c>
      <c r="AA84" t="s">
        <v>122</v>
      </c>
      <c r="AC84" t="s">
        <v>60</v>
      </c>
      <c r="AD84" t="s">
        <v>60</v>
      </c>
      <c r="AE84" t="s">
        <v>61</v>
      </c>
      <c r="AG84" t="s">
        <v>57</v>
      </c>
      <c r="AH84" t="s">
        <v>57</v>
      </c>
      <c r="AN84" t="s">
        <v>57</v>
      </c>
      <c r="AP84" t="s">
        <v>62</v>
      </c>
      <c r="AS84" t="s">
        <v>57</v>
      </c>
      <c r="AT84" t="s">
        <v>57</v>
      </c>
      <c r="AU84" t="s">
        <v>57</v>
      </c>
      <c r="AW84" t="s">
        <v>63</v>
      </c>
      <c r="AX84" t="s">
        <v>57</v>
      </c>
    </row>
    <row r="85" spans="1:50">
      <c r="A85">
        <v>18982262</v>
      </c>
      <c r="B85">
        <v>11164245</v>
      </c>
      <c r="C85" t="str">
        <f>"190212502891"</f>
        <v>190212502891</v>
      </c>
      <c r="D85" t="s">
        <v>231</v>
      </c>
      <c r="E85" t="s">
        <v>174</v>
      </c>
      <c r="F85" t="s">
        <v>279</v>
      </c>
      <c r="G85" s="1">
        <v>43508</v>
      </c>
      <c r="I85" t="s">
        <v>54</v>
      </c>
      <c r="J85" t="s">
        <v>55</v>
      </c>
      <c r="K85" t="s">
        <v>56</v>
      </c>
      <c r="Q85" t="s">
        <v>57</v>
      </c>
      <c r="R85" t="str">
        <f>"КАЗАХСТАН, АБАЙ, АУЫЛДЫҚ ОКРУГІ Кокпектинский, АУЫЛЫ Кокпекты, 37, 2"</f>
        <v>КАЗАХСТАН, АБАЙ, АУЫЛДЫҚ ОКРУГІ Кокпектинский, АУЫЛЫ Кокпекты, 37, 2</v>
      </c>
      <c r="S85" t="str">
        <f>"ҚАЗАҚСТАН, АБАЙ, АУЫЛДЫҚ ОКРУГІ Кокпектинский, АУЫЛЫ Кокпекты, 37, 2"</f>
        <v>ҚАЗАҚСТАН, АБАЙ, АУЫЛДЫҚ ОКРУГІ Кокпектинский, АУЫЛЫ Кокпекты, 37, 2</v>
      </c>
      <c r="T85" t="str">
        <f>"АУЫЛДЫҚ ОКРУГІ Кокпектинский, АУЫЛЫ Кокпекты, 37, 2"</f>
        <v>АУЫЛДЫҚ ОКРУГІ Кокпектинский, АУЫЛЫ Кокпекты, 37, 2</v>
      </c>
      <c r="U85" t="str">
        <f>"АУЫЛДЫҚ ОКРУГІ Кокпектинский, АУЫЛЫ Кокпекты, 37, 2"</f>
        <v>АУЫЛДЫҚ ОКРУГІ Кокпектинский, АУЫЛЫ Кокпекты, 37, 2</v>
      </c>
      <c r="V85" t="str">
        <f>"2021-02-12T00:00:00"</f>
        <v>2021-02-12T00:00:00</v>
      </c>
      <c r="X85" t="str">
        <f>"Балапан"</f>
        <v>Балапан</v>
      </c>
      <c r="Y85" t="s">
        <v>58</v>
      </c>
      <c r="AA85" t="s">
        <v>59</v>
      </c>
      <c r="AC85" t="s">
        <v>60</v>
      </c>
      <c r="AD85" t="s">
        <v>60</v>
      </c>
      <c r="AE85" t="s">
        <v>61</v>
      </c>
      <c r="AG85" t="s">
        <v>57</v>
      </c>
      <c r="AH85" t="s">
        <v>57</v>
      </c>
      <c r="AN85" t="s">
        <v>57</v>
      </c>
      <c r="AP85" t="s">
        <v>62</v>
      </c>
      <c r="AS85" t="s">
        <v>57</v>
      </c>
      <c r="AT85" t="s">
        <v>57</v>
      </c>
      <c r="AU85" t="s">
        <v>57</v>
      </c>
      <c r="AW85" t="s">
        <v>63</v>
      </c>
      <c r="AX85" t="s">
        <v>57</v>
      </c>
    </row>
    <row r="86" spans="1:50">
      <c r="A86">
        <v>18756376</v>
      </c>
      <c r="B86">
        <v>11061630</v>
      </c>
      <c r="C86" t="str">
        <f>"190627600491"</f>
        <v>190627600491</v>
      </c>
      <c r="D86" t="s">
        <v>280</v>
      </c>
      <c r="E86" t="s">
        <v>281</v>
      </c>
      <c r="G86" s="1">
        <v>43643</v>
      </c>
      <c r="I86" t="s">
        <v>74</v>
      </c>
      <c r="J86" t="s">
        <v>55</v>
      </c>
      <c r="K86" t="s">
        <v>56</v>
      </c>
      <c r="Q86" t="s">
        <v>57</v>
      </c>
      <c r="R86" t="str">
        <f>"КАЗАХСТАН, В-КАЗАХСТАНСКАЯ, КОКПЕКТИНСКИЙ Р-Н, Кокпектинский, Кокпекты, 78"</f>
        <v>КАЗАХСТАН, В-КАЗАХСТАНСКАЯ, КОКПЕКТИНСКИЙ Р-Н, Кокпектинский, Кокпекты, 78</v>
      </c>
      <c r="S86" t="str">
        <f>"ҚАЗАҚСТАН, ШЫҒ-ҚАЗАҚСТАН, КӨКПЕКТІ АУДАНЫ, Кокпектинский, Кокпекты, 78"</f>
        <v>ҚАЗАҚСТАН, ШЫҒ-ҚАЗАҚСТАН, КӨКПЕКТІ АУДАНЫ, Кокпектинский, Кокпекты, 78</v>
      </c>
      <c r="T86" t="str">
        <f>"Кокпектинский, Кокпекты, 78"</f>
        <v>Кокпектинский, Кокпекты, 78</v>
      </c>
      <c r="U86" t="str">
        <f>"Кокпектинский, Кокпекты, 78"</f>
        <v>Кокпектинский, Кокпекты, 78</v>
      </c>
      <c r="V86" t="str">
        <f>"2021-01-01T00:00:00"</f>
        <v>2021-01-01T00:00:00</v>
      </c>
      <c r="X86" t="str">
        <f>"Ромашка"</f>
        <v>Ромашка</v>
      </c>
      <c r="Y86" t="s">
        <v>58</v>
      </c>
      <c r="AA86" t="s">
        <v>122</v>
      </c>
      <c r="AC86" t="s">
        <v>60</v>
      </c>
      <c r="AD86" t="s">
        <v>60</v>
      </c>
      <c r="AE86" t="s">
        <v>61</v>
      </c>
      <c r="AG86" t="s">
        <v>57</v>
      </c>
      <c r="AH86" t="s">
        <v>57</v>
      </c>
      <c r="AN86" t="s">
        <v>57</v>
      </c>
      <c r="AP86" t="s">
        <v>62</v>
      </c>
      <c r="AS86" t="s">
        <v>57</v>
      </c>
      <c r="AT86" t="s">
        <v>57</v>
      </c>
      <c r="AU86" t="s">
        <v>57</v>
      </c>
      <c r="AW86" t="s">
        <v>63</v>
      </c>
      <c r="AX86" t="s">
        <v>57</v>
      </c>
    </row>
    <row r="87" spans="1:50">
      <c r="A87">
        <v>18756337</v>
      </c>
      <c r="B87">
        <v>11061615</v>
      </c>
      <c r="C87" t="str">
        <f>"190101600729"</f>
        <v>190101600729</v>
      </c>
      <c r="D87" t="s">
        <v>282</v>
      </c>
      <c r="E87" t="s">
        <v>283</v>
      </c>
      <c r="F87" t="s">
        <v>284</v>
      </c>
      <c r="G87" s="1">
        <v>43466</v>
      </c>
      <c r="I87" t="s">
        <v>74</v>
      </c>
      <c r="J87" t="s">
        <v>55</v>
      </c>
      <c r="K87" t="s">
        <v>285</v>
      </c>
      <c r="Q87" t="s">
        <v>57</v>
      </c>
      <c r="R87" t="str">
        <f>"КАЗАХСТАН, В-КАЗАХСТАНСКАЯ, КОКПЕКТИНСКИЙ Р-Н, Кокпектинский, Кокпекты, 34, 1"</f>
        <v>КАЗАХСТАН, В-КАЗАХСТАНСКАЯ, КОКПЕКТИНСКИЙ Р-Н, Кокпектинский, Кокпекты, 34, 1</v>
      </c>
      <c r="S87" t="str">
        <f>"ҚАЗАҚСТАН, ШЫҒ-ҚАЗАҚСТАН, КӨКПЕКТІ АУДАНЫ, Кокпектинский, Кокпекты, 34, 1"</f>
        <v>ҚАЗАҚСТАН, ШЫҒ-ҚАЗАҚСТАН, КӨКПЕКТІ АУДАНЫ, Кокпектинский, Кокпекты, 34, 1</v>
      </c>
      <c r="T87" t="str">
        <f>"Кокпектинский, Кокпекты, 34, 1"</f>
        <v>Кокпектинский, Кокпекты, 34, 1</v>
      </c>
      <c r="U87" t="str">
        <f>"Кокпектинский, Кокпекты, 34, 1"</f>
        <v>Кокпектинский, Кокпекты, 34, 1</v>
      </c>
      <c r="V87" t="str">
        <f>"2020-12-11T00:00:00"</f>
        <v>2020-12-11T00:00:00</v>
      </c>
      <c r="X87" t="str">
        <f>"Ромашка"</f>
        <v>Ромашка</v>
      </c>
      <c r="Y87" t="s">
        <v>58</v>
      </c>
      <c r="AA87" t="s">
        <v>122</v>
      </c>
      <c r="AC87" t="s">
        <v>60</v>
      </c>
      <c r="AD87" t="s">
        <v>60</v>
      </c>
      <c r="AE87" t="s">
        <v>61</v>
      </c>
      <c r="AG87" t="s">
        <v>57</v>
      </c>
      <c r="AH87" t="s">
        <v>57</v>
      </c>
      <c r="AN87" t="s">
        <v>57</v>
      </c>
      <c r="AP87" t="s">
        <v>62</v>
      </c>
      <c r="AS87" t="s">
        <v>57</v>
      </c>
      <c r="AT87" t="s">
        <v>57</v>
      </c>
      <c r="AU87" t="s">
        <v>57</v>
      </c>
      <c r="AW87" t="s">
        <v>63</v>
      </c>
      <c r="AX87" t="s">
        <v>57</v>
      </c>
    </row>
    <row r="88" spans="1:50">
      <c r="A88">
        <v>17944058</v>
      </c>
      <c r="B88">
        <v>10625310</v>
      </c>
      <c r="C88" t="str">
        <f>"190123501621"</f>
        <v>190123501621</v>
      </c>
      <c r="D88" t="s">
        <v>286</v>
      </c>
      <c r="E88" t="s">
        <v>287</v>
      </c>
      <c r="F88" t="s">
        <v>288</v>
      </c>
      <c r="G88" s="1">
        <v>43488</v>
      </c>
      <c r="I88" t="s">
        <v>54</v>
      </c>
      <c r="J88" t="s">
        <v>55</v>
      </c>
      <c r="K88" t="s">
        <v>56</v>
      </c>
      <c r="Q88" t="s">
        <v>57</v>
      </c>
      <c r="R88" t="str">
        <f>"КАЗАХСТАН, В-КАЗАХСТАНСКАЯ, КОКПЕКТИНСКИЙ Р-Н, Кокпектинский, Кокпекты, 46"</f>
        <v>КАЗАХСТАН, В-КАЗАХСТАНСКАЯ, КОКПЕКТИНСКИЙ Р-Н, Кокпектинский, Кокпекты, 46</v>
      </c>
      <c r="S88" t="str">
        <f>"ҚАЗАҚСТАН, ШЫҒ-ҚАЗАҚСТАН, КӨКПЕКТІ АУДАНЫ, Кокпектинский, Кокпекты, 46"</f>
        <v>ҚАЗАҚСТАН, ШЫҒ-ҚАЗАҚСТАН, КӨКПЕКТІ АУДАНЫ, Кокпектинский, Кокпекты, 46</v>
      </c>
      <c r="T88" t="str">
        <f>"Кокпектинский, Кокпекты, 46"</f>
        <v>Кокпектинский, Кокпекты, 46</v>
      </c>
      <c r="U88" t="str">
        <f>"Кокпектинский, Кокпекты, 46"</f>
        <v>Кокпектинский, Кокпекты, 46</v>
      </c>
      <c r="V88" t="str">
        <f>"2020-11-09T00:00:00"</f>
        <v>2020-11-09T00:00:00</v>
      </c>
      <c r="X88" t="str">
        <f>"Ромашка"</f>
        <v>Ромашка</v>
      </c>
      <c r="Y88" t="s">
        <v>58</v>
      </c>
      <c r="AA88" t="s">
        <v>122</v>
      </c>
      <c r="AC88" t="s">
        <v>60</v>
      </c>
      <c r="AD88" t="s">
        <v>60</v>
      </c>
      <c r="AE88" t="s">
        <v>61</v>
      </c>
      <c r="AG88" t="s">
        <v>57</v>
      </c>
      <c r="AH88" t="s">
        <v>57</v>
      </c>
      <c r="AN88" t="s">
        <v>57</v>
      </c>
      <c r="AP88" t="s">
        <v>62</v>
      </c>
      <c r="AS88" t="s">
        <v>57</v>
      </c>
      <c r="AT88" t="s">
        <v>57</v>
      </c>
      <c r="AU88" t="s">
        <v>57</v>
      </c>
      <c r="AW88" t="s">
        <v>63</v>
      </c>
      <c r="AX88" t="s">
        <v>57</v>
      </c>
    </row>
    <row r="89" spans="1:50">
      <c r="A89">
        <v>17944012</v>
      </c>
      <c r="B89">
        <v>10625294</v>
      </c>
      <c r="C89" t="str">
        <f>"190527603482"</f>
        <v>190527603482</v>
      </c>
      <c r="D89" t="s">
        <v>289</v>
      </c>
      <c r="E89" t="s">
        <v>290</v>
      </c>
      <c r="F89" t="s">
        <v>291</v>
      </c>
      <c r="G89" s="1">
        <v>43612</v>
      </c>
      <c r="I89" t="s">
        <v>74</v>
      </c>
      <c r="J89" t="s">
        <v>55</v>
      </c>
      <c r="K89" t="s">
        <v>56</v>
      </c>
      <c r="Q89" t="s">
        <v>57</v>
      </c>
      <c r="R89" t="str">
        <f>"КАЗАХСТАН, В-КАЗАХСТАНСКАЯ, КОКПЕКТИНСКИЙ Р-Н, Кокпектинский, Кокпекты, 76, 3"</f>
        <v>КАЗАХСТАН, В-КАЗАХСТАНСКАЯ, КОКПЕКТИНСКИЙ Р-Н, Кокпектинский, Кокпекты, 76, 3</v>
      </c>
      <c r="S89" t="str">
        <f>"ҚАЗАҚСТАН, ШЫҒ-ҚАЗАҚСТАН, КӨКПЕКТІ АУДАНЫ, Кокпектинский, Кокпекты, 76, 3"</f>
        <v>ҚАЗАҚСТАН, ШЫҒ-ҚАЗАҚСТАН, КӨКПЕКТІ АУДАНЫ, Кокпектинский, Кокпекты, 76, 3</v>
      </c>
      <c r="T89" t="str">
        <f>"Кокпектинский, Кокпекты, 76, 3"</f>
        <v>Кокпектинский, Кокпекты, 76, 3</v>
      </c>
      <c r="U89" t="str">
        <f>"Кокпектинский, Кокпекты, 76, 3"</f>
        <v>Кокпектинский, Кокпекты, 76, 3</v>
      </c>
      <c r="V89" t="str">
        <f>"2020-11-09T00:00:00"</f>
        <v>2020-11-09T00:00:00</v>
      </c>
      <c r="X89" t="str">
        <f>"Балапан"</f>
        <v>Балапан</v>
      </c>
      <c r="Y89" t="s">
        <v>58</v>
      </c>
      <c r="AA89" t="s">
        <v>59</v>
      </c>
      <c r="AC89" t="s">
        <v>60</v>
      </c>
      <c r="AD89" t="s">
        <v>60</v>
      </c>
      <c r="AE89" t="s">
        <v>61</v>
      </c>
      <c r="AG89" t="s">
        <v>57</v>
      </c>
      <c r="AH89" t="s">
        <v>57</v>
      </c>
      <c r="AN89" t="s">
        <v>57</v>
      </c>
      <c r="AP89" t="s">
        <v>62</v>
      </c>
      <c r="AS89" t="s">
        <v>57</v>
      </c>
      <c r="AT89" t="s">
        <v>57</v>
      </c>
      <c r="AU89" t="s">
        <v>57</v>
      </c>
      <c r="AW89" t="s">
        <v>63</v>
      </c>
      <c r="AX89" t="s">
        <v>70</v>
      </c>
    </row>
    <row r="90" spans="1:50">
      <c r="A90">
        <v>17756347</v>
      </c>
      <c r="B90">
        <v>10514556</v>
      </c>
      <c r="C90" t="str">
        <f>"181211604205"</f>
        <v>181211604205</v>
      </c>
      <c r="D90" t="s">
        <v>292</v>
      </c>
      <c r="E90" t="s">
        <v>293</v>
      </c>
      <c r="F90" t="s">
        <v>294</v>
      </c>
      <c r="G90" s="1">
        <v>43445</v>
      </c>
      <c r="I90" t="s">
        <v>74</v>
      </c>
      <c r="J90" t="s">
        <v>55</v>
      </c>
      <c r="K90" t="s">
        <v>56</v>
      </c>
      <c r="Q90" t="s">
        <v>57</v>
      </c>
      <c r="R90" t="str">
        <f>"КАЗАХСТАН, В-КАЗАХСТАНСКАЯ, КОКПЕКТИНСКИЙ Р-Н, Кокпектинский, Кокпекты, 31"</f>
        <v>КАЗАХСТАН, В-КАЗАХСТАНСКАЯ, КОКПЕКТИНСКИЙ Р-Н, Кокпектинский, Кокпекты, 31</v>
      </c>
      <c r="S90" t="str">
        <f>"ҚАЗАҚСТАН, ШЫҒ-ҚАЗАҚСТАН, КӨКПЕКТІ АУДАНЫ, Кокпектинский, Кокпекты, 31"</f>
        <v>ҚАЗАҚСТАН, ШЫҒ-ҚАЗАҚСТАН, КӨКПЕКТІ АУДАНЫ, Кокпектинский, Кокпекты, 31</v>
      </c>
      <c r="T90" t="str">
        <f>"Кокпектинский, Кокпекты, 31"</f>
        <v>Кокпектинский, Кокпекты, 31</v>
      </c>
      <c r="U90" t="str">
        <f>"Кокпектинский, Кокпекты, 31"</f>
        <v>Кокпектинский, Кокпекты, 31</v>
      </c>
      <c r="V90" t="str">
        <f>"2020-10-13T00:00:00"</f>
        <v>2020-10-13T00:00:00</v>
      </c>
      <c r="X90" t="str">
        <f>"Балапан"</f>
        <v>Балапан</v>
      </c>
      <c r="Y90" t="s">
        <v>58</v>
      </c>
      <c r="AA90" t="s">
        <v>59</v>
      </c>
      <c r="AC90" t="s">
        <v>60</v>
      </c>
      <c r="AD90" t="s">
        <v>60</v>
      </c>
      <c r="AE90" t="s">
        <v>61</v>
      </c>
      <c r="AG90" t="s">
        <v>57</v>
      </c>
      <c r="AH90" t="s">
        <v>57</v>
      </c>
      <c r="AN90" t="s">
        <v>57</v>
      </c>
      <c r="AP90" t="s">
        <v>62</v>
      </c>
      <c r="AS90" t="s">
        <v>57</v>
      </c>
      <c r="AT90" t="s">
        <v>57</v>
      </c>
      <c r="AU90" t="s">
        <v>57</v>
      </c>
      <c r="AW90" t="s">
        <v>63</v>
      </c>
      <c r="AX90" t="s">
        <v>57</v>
      </c>
    </row>
    <row r="91" spans="1:50">
      <c r="A91">
        <v>27136308</v>
      </c>
      <c r="B91">
        <v>13623161</v>
      </c>
      <c r="C91" t="str">
        <f>"200309602700"</f>
        <v>200309602700</v>
      </c>
      <c r="D91" t="s">
        <v>295</v>
      </c>
      <c r="E91" t="s">
        <v>296</v>
      </c>
      <c r="F91" t="s">
        <v>297</v>
      </c>
      <c r="G91" s="1">
        <v>43899</v>
      </c>
      <c r="I91" t="s">
        <v>74</v>
      </c>
      <c r="J91" t="s">
        <v>55</v>
      </c>
      <c r="K91" t="s">
        <v>56</v>
      </c>
      <c r="Q91" t="s">
        <v>57</v>
      </c>
      <c r="R91" t="str">
        <f t="shared" ref="R91:U98" si="11">"-"</f>
        <v>-</v>
      </c>
      <c r="S91" t="str">
        <f t="shared" si="11"/>
        <v>-</v>
      </c>
      <c r="T91" t="str">
        <f t="shared" si="11"/>
        <v>-</v>
      </c>
      <c r="U91" t="str">
        <f t="shared" si="11"/>
        <v>-</v>
      </c>
      <c r="V91" t="str">
        <f>"2024-02-02T00:00:00"</f>
        <v>2024-02-02T00:00:00</v>
      </c>
      <c r="X91" t="str">
        <f>"Қошақан"</f>
        <v>Қошақан</v>
      </c>
      <c r="Y91" t="s">
        <v>66</v>
      </c>
      <c r="AA91" t="s">
        <v>59</v>
      </c>
      <c r="AB91" t="s">
        <v>81</v>
      </c>
      <c r="AC91" t="s">
        <v>60</v>
      </c>
      <c r="AD91" t="s">
        <v>60</v>
      </c>
      <c r="AE91" t="s">
        <v>61</v>
      </c>
      <c r="AG91" t="s">
        <v>57</v>
      </c>
      <c r="AH91" t="s">
        <v>57</v>
      </c>
      <c r="AN91" t="s">
        <v>57</v>
      </c>
      <c r="AP91" t="s">
        <v>62</v>
      </c>
      <c r="AS91" t="s">
        <v>57</v>
      </c>
      <c r="AT91" t="s">
        <v>57</v>
      </c>
      <c r="AU91" t="s">
        <v>57</v>
      </c>
      <c r="AW91" t="s">
        <v>63</v>
      </c>
      <c r="AX91" t="s">
        <v>57</v>
      </c>
    </row>
    <row r="92" spans="1:50">
      <c r="A92">
        <v>26919406</v>
      </c>
      <c r="B92">
        <v>13564826</v>
      </c>
      <c r="C92" t="str">
        <f>"211002550680"</f>
        <v>211002550680</v>
      </c>
      <c r="D92" t="s">
        <v>298</v>
      </c>
      <c r="E92" t="s">
        <v>299</v>
      </c>
      <c r="F92" t="s">
        <v>300</v>
      </c>
      <c r="G92" s="1">
        <v>44471</v>
      </c>
      <c r="I92" t="s">
        <v>54</v>
      </c>
      <c r="J92" t="s">
        <v>55</v>
      </c>
      <c r="K92" t="s">
        <v>56</v>
      </c>
      <c r="Q92" t="s">
        <v>57</v>
      </c>
      <c r="R92" t="str">
        <f t="shared" si="11"/>
        <v>-</v>
      </c>
      <c r="S92" t="str">
        <f t="shared" si="11"/>
        <v>-</v>
      </c>
      <c r="T92" t="str">
        <f t="shared" si="11"/>
        <v>-</v>
      </c>
      <c r="U92" t="str">
        <f t="shared" si="11"/>
        <v>-</v>
      </c>
      <c r="V92" t="str">
        <f>"2023-11-22T00:00:00"</f>
        <v>2023-11-22T00:00:00</v>
      </c>
      <c r="X92" t="str">
        <f>"Айгөлек"</f>
        <v>Айгөлек</v>
      </c>
      <c r="Y92" t="s">
        <v>85</v>
      </c>
      <c r="AA92" t="s">
        <v>59</v>
      </c>
      <c r="AC92" t="s">
        <v>60</v>
      </c>
      <c r="AD92" t="s">
        <v>60</v>
      </c>
      <c r="AE92" t="s">
        <v>61</v>
      </c>
      <c r="AG92" t="s">
        <v>57</v>
      </c>
      <c r="AH92" t="s">
        <v>57</v>
      </c>
      <c r="AN92" t="s">
        <v>57</v>
      </c>
      <c r="AP92" t="s">
        <v>62</v>
      </c>
      <c r="AS92" t="s">
        <v>57</v>
      </c>
      <c r="AT92" t="s">
        <v>57</v>
      </c>
      <c r="AU92" t="s">
        <v>57</v>
      </c>
      <c r="AW92" t="s">
        <v>63</v>
      </c>
      <c r="AX92" t="s">
        <v>70</v>
      </c>
    </row>
    <row r="93" spans="1:50">
      <c r="A93">
        <v>26900939</v>
      </c>
      <c r="B93">
        <v>13558821</v>
      </c>
      <c r="C93" t="str">
        <f>"220310553074"</f>
        <v>220310553074</v>
      </c>
      <c r="D93" t="s">
        <v>220</v>
      </c>
      <c r="E93" t="s">
        <v>301</v>
      </c>
      <c r="F93" t="s">
        <v>199</v>
      </c>
      <c r="G93" s="1">
        <v>44630</v>
      </c>
      <c r="I93" t="s">
        <v>54</v>
      </c>
      <c r="J93" t="s">
        <v>55</v>
      </c>
      <c r="K93" t="s">
        <v>56</v>
      </c>
      <c r="Q93" t="s">
        <v>57</v>
      </c>
      <c r="R93" t="str">
        <f t="shared" si="11"/>
        <v>-</v>
      </c>
      <c r="S93" t="str">
        <f t="shared" si="11"/>
        <v>-</v>
      </c>
      <c r="T93" t="str">
        <f t="shared" si="11"/>
        <v>-</v>
      </c>
      <c r="U93" t="str">
        <f t="shared" si="11"/>
        <v>-</v>
      </c>
      <c r="V93" t="str">
        <f>"2023-11-16T00:00:00"</f>
        <v>2023-11-16T00:00:00</v>
      </c>
      <c r="X93" t="str">
        <f>"Айгөлек"</f>
        <v>Айгөлек</v>
      </c>
      <c r="Y93" t="s">
        <v>85</v>
      </c>
      <c r="AA93" t="s">
        <v>59</v>
      </c>
      <c r="AC93" t="s">
        <v>60</v>
      </c>
      <c r="AD93" t="s">
        <v>60</v>
      </c>
      <c r="AE93" t="s">
        <v>61</v>
      </c>
      <c r="AG93" t="s">
        <v>57</v>
      </c>
      <c r="AH93" t="s">
        <v>57</v>
      </c>
      <c r="AN93" t="s">
        <v>57</v>
      </c>
      <c r="AP93" t="s">
        <v>62</v>
      </c>
      <c r="AS93" t="s">
        <v>57</v>
      </c>
      <c r="AT93" t="s">
        <v>57</v>
      </c>
      <c r="AU93" t="s">
        <v>57</v>
      </c>
      <c r="AW93" t="s">
        <v>63</v>
      </c>
      <c r="AX93" t="s">
        <v>70</v>
      </c>
    </row>
    <row r="94" spans="1:50">
      <c r="A94">
        <v>25409344</v>
      </c>
      <c r="B94">
        <v>13321526</v>
      </c>
      <c r="C94" t="str">
        <f>"210909650774"</f>
        <v>210909650774</v>
      </c>
      <c r="D94" t="s">
        <v>302</v>
      </c>
      <c r="E94" t="s">
        <v>185</v>
      </c>
      <c r="F94" t="s">
        <v>303</v>
      </c>
      <c r="G94" s="1">
        <v>44448</v>
      </c>
      <c r="I94" t="s">
        <v>74</v>
      </c>
      <c r="J94" t="s">
        <v>55</v>
      </c>
      <c r="K94" t="s">
        <v>56</v>
      </c>
      <c r="Q94" t="s">
        <v>57</v>
      </c>
      <c r="R94" t="str">
        <f t="shared" si="11"/>
        <v>-</v>
      </c>
      <c r="S94" t="str">
        <f t="shared" si="11"/>
        <v>-</v>
      </c>
      <c r="T94" t="str">
        <f t="shared" si="11"/>
        <v>-</v>
      </c>
      <c r="U94" t="str">
        <f t="shared" si="11"/>
        <v>-</v>
      </c>
      <c r="V94" t="str">
        <f>"2023-08-22T00:00:00"</f>
        <v>2023-08-22T00:00:00</v>
      </c>
      <c r="X94" t="str">
        <f>"Айгөлек"</f>
        <v>Айгөлек</v>
      </c>
      <c r="Y94" t="s">
        <v>85</v>
      </c>
      <c r="AA94" t="s">
        <v>59</v>
      </c>
      <c r="AC94" t="s">
        <v>60</v>
      </c>
      <c r="AD94" t="s">
        <v>60</v>
      </c>
      <c r="AE94" t="s">
        <v>61</v>
      </c>
      <c r="AG94" t="s">
        <v>57</v>
      </c>
      <c r="AH94" t="s">
        <v>57</v>
      </c>
      <c r="AN94" t="s">
        <v>57</v>
      </c>
      <c r="AP94" t="s">
        <v>62</v>
      </c>
      <c r="AS94" t="s">
        <v>57</v>
      </c>
      <c r="AT94" t="s">
        <v>57</v>
      </c>
      <c r="AU94" t="s">
        <v>70</v>
      </c>
      <c r="AV94" t="s">
        <v>89</v>
      </c>
      <c r="AW94" t="s">
        <v>63</v>
      </c>
      <c r="AX94" t="s">
        <v>57</v>
      </c>
    </row>
    <row r="95" spans="1:50">
      <c r="A95">
        <v>25409056</v>
      </c>
      <c r="B95">
        <v>13321497</v>
      </c>
      <c r="C95" t="str">
        <f>"211223555851"</f>
        <v>211223555851</v>
      </c>
      <c r="D95" t="s">
        <v>304</v>
      </c>
      <c r="E95" t="s">
        <v>227</v>
      </c>
      <c r="G95" s="1">
        <v>44553</v>
      </c>
      <c r="I95" t="s">
        <v>54</v>
      </c>
      <c r="J95" t="s">
        <v>55</v>
      </c>
      <c r="K95" t="s">
        <v>56</v>
      </c>
      <c r="Q95" t="s">
        <v>57</v>
      </c>
      <c r="R95" t="str">
        <f t="shared" si="11"/>
        <v>-</v>
      </c>
      <c r="S95" t="str">
        <f t="shared" si="11"/>
        <v>-</v>
      </c>
      <c r="T95" t="str">
        <f t="shared" si="11"/>
        <v>-</v>
      </c>
      <c r="U95" t="str">
        <f t="shared" si="11"/>
        <v>-</v>
      </c>
      <c r="V95" t="str">
        <f>"2023-08-22T00:00:00"</f>
        <v>2023-08-22T00:00:00</v>
      </c>
      <c r="X95" t="str">
        <f>"Айгөлек"</f>
        <v>Айгөлек</v>
      </c>
      <c r="Y95" t="s">
        <v>85</v>
      </c>
      <c r="AA95" t="s">
        <v>59</v>
      </c>
      <c r="AC95" t="s">
        <v>60</v>
      </c>
      <c r="AD95" t="s">
        <v>60</v>
      </c>
      <c r="AE95" t="s">
        <v>61</v>
      </c>
      <c r="AG95" t="s">
        <v>57</v>
      </c>
      <c r="AH95" t="s">
        <v>57</v>
      </c>
      <c r="AN95" t="s">
        <v>57</v>
      </c>
      <c r="AP95" t="s">
        <v>62</v>
      </c>
      <c r="AS95" t="s">
        <v>57</v>
      </c>
      <c r="AT95" t="s">
        <v>57</v>
      </c>
      <c r="AU95" t="s">
        <v>57</v>
      </c>
      <c r="AW95" t="s">
        <v>63</v>
      </c>
      <c r="AX95" t="s">
        <v>57</v>
      </c>
    </row>
    <row r="96" spans="1:50">
      <c r="A96">
        <v>25408543</v>
      </c>
      <c r="B96">
        <v>13321436</v>
      </c>
      <c r="C96" t="str">
        <f>"210218552807"</f>
        <v>210218552807</v>
      </c>
      <c r="D96" t="s">
        <v>305</v>
      </c>
      <c r="E96" t="s">
        <v>306</v>
      </c>
      <c r="F96" t="s">
        <v>307</v>
      </c>
      <c r="G96" s="1">
        <v>44245</v>
      </c>
      <c r="I96" t="s">
        <v>54</v>
      </c>
      <c r="J96" t="s">
        <v>55</v>
      </c>
      <c r="K96" t="s">
        <v>56</v>
      </c>
      <c r="Q96" t="s">
        <v>57</v>
      </c>
      <c r="R96" t="str">
        <f t="shared" si="11"/>
        <v>-</v>
      </c>
      <c r="S96" t="str">
        <f t="shared" si="11"/>
        <v>-</v>
      </c>
      <c r="T96" t="str">
        <f t="shared" si="11"/>
        <v>-</v>
      </c>
      <c r="U96" t="str">
        <f t="shared" si="11"/>
        <v>-</v>
      </c>
      <c r="V96" t="str">
        <f>"2023-08-22T00:00:00"</f>
        <v>2023-08-22T00:00:00</v>
      </c>
      <c r="X96" t="str">
        <f>"Солнышко"</f>
        <v>Солнышко</v>
      </c>
      <c r="Y96" t="s">
        <v>85</v>
      </c>
      <c r="AA96" t="s">
        <v>122</v>
      </c>
      <c r="AC96" t="s">
        <v>60</v>
      </c>
      <c r="AD96" t="s">
        <v>60</v>
      </c>
      <c r="AE96" t="s">
        <v>61</v>
      </c>
      <c r="AG96" t="s">
        <v>57</v>
      </c>
      <c r="AH96" t="s">
        <v>57</v>
      </c>
      <c r="AN96" t="s">
        <v>57</v>
      </c>
      <c r="AP96" t="s">
        <v>62</v>
      </c>
      <c r="AS96" t="s">
        <v>57</v>
      </c>
      <c r="AT96" t="s">
        <v>57</v>
      </c>
      <c r="AU96" t="s">
        <v>57</v>
      </c>
      <c r="AW96" t="s">
        <v>63</v>
      </c>
      <c r="AX96" t="s">
        <v>57</v>
      </c>
    </row>
    <row r="97" spans="1:50">
      <c r="A97">
        <v>25332637</v>
      </c>
      <c r="B97">
        <v>12705004</v>
      </c>
      <c r="C97" t="str">
        <f>"200911654518"</f>
        <v>200911654518</v>
      </c>
      <c r="D97" t="s">
        <v>308</v>
      </c>
      <c r="E97" t="s">
        <v>309</v>
      </c>
      <c r="F97" t="s">
        <v>310</v>
      </c>
      <c r="G97" s="1">
        <v>44085</v>
      </c>
      <c r="I97" t="s">
        <v>74</v>
      </c>
      <c r="J97" t="s">
        <v>55</v>
      </c>
      <c r="K97" t="s">
        <v>56</v>
      </c>
      <c r="Q97" t="s">
        <v>57</v>
      </c>
      <c r="R97" t="str">
        <f t="shared" si="11"/>
        <v>-</v>
      </c>
      <c r="S97" t="str">
        <f t="shared" si="11"/>
        <v>-</v>
      </c>
      <c r="T97" t="str">
        <f t="shared" si="11"/>
        <v>-</v>
      </c>
      <c r="U97" t="str">
        <f t="shared" si="11"/>
        <v>-</v>
      </c>
      <c r="V97" t="str">
        <f>"2023-08-17T00:00:00"</f>
        <v>2023-08-17T00:00:00</v>
      </c>
      <c r="X97" t="str">
        <f>"Солнышко"</f>
        <v>Солнышко</v>
      </c>
      <c r="Y97" t="s">
        <v>85</v>
      </c>
      <c r="AA97" t="s">
        <v>122</v>
      </c>
      <c r="AC97" t="s">
        <v>60</v>
      </c>
      <c r="AD97" t="s">
        <v>60</v>
      </c>
      <c r="AE97" t="s">
        <v>61</v>
      </c>
      <c r="AG97" t="s">
        <v>57</v>
      </c>
      <c r="AH97" t="s">
        <v>57</v>
      </c>
      <c r="AN97" t="s">
        <v>57</v>
      </c>
      <c r="AP97" t="s">
        <v>62</v>
      </c>
      <c r="AS97" t="s">
        <v>57</v>
      </c>
      <c r="AT97" t="s">
        <v>57</v>
      </c>
      <c r="AU97" t="s">
        <v>57</v>
      </c>
      <c r="AW97" t="s">
        <v>63</v>
      </c>
      <c r="AX97" t="s">
        <v>57</v>
      </c>
    </row>
    <row r="98" spans="1:50">
      <c r="A98">
        <v>25332577</v>
      </c>
      <c r="B98">
        <v>13173210</v>
      </c>
      <c r="C98" t="str">
        <f>"200920651671"</f>
        <v>200920651671</v>
      </c>
      <c r="D98" t="s">
        <v>126</v>
      </c>
      <c r="E98" t="s">
        <v>311</v>
      </c>
      <c r="G98" s="1">
        <v>44094</v>
      </c>
      <c r="I98" t="s">
        <v>74</v>
      </c>
      <c r="J98" t="s">
        <v>55</v>
      </c>
      <c r="K98" t="s">
        <v>56</v>
      </c>
      <c r="Q98" t="s">
        <v>57</v>
      </c>
      <c r="R98" t="str">
        <f t="shared" si="11"/>
        <v>-</v>
      </c>
      <c r="S98" t="str">
        <f t="shared" si="11"/>
        <v>-</v>
      </c>
      <c r="T98" t="str">
        <f t="shared" si="11"/>
        <v>-</v>
      </c>
      <c r="U98" t="str">
        <f t="shared" si="11"/>
        <v>-</v>
      </c>
      <c r="V98" t="str">
        <f>"2023-08-17T00:00:00"</f>
        <v>2023-08-17T00:00:00</v>
      </c>
      <c r="X98" t="str">
        <f>"Солнышко"</f>
        <v>Солнышко</v>
      </c>
      <c r="Y98" t="s">
        <v>85</v>
      </c>
      <c r="AA98" t="s">
        <v>122</v>
      </c>
      <c r="AC98" t="s">
        <v>60</v>
      </c>
      <c r="AD98" t="s">
        <v>60</v>
      </c>
      <c r="AE98" t="s">
        <v>61</v>
      </c>
      <c r="AG98" t="s">
        <v>57</v>
      </c>
      <c r="AH98" t="s">
        <v>57</v>
      </c>
      <c r="AN98" t="s">
        <v>57</v>
      </c>
      <c r="AP98" t="s">
        <v>62</v>
      </c>
      <c r="AS98" t="s">
        <v>57</v>
      </c>
      <c r="AT98" t="s">
        <v>57</v>
      </c>
      <c r="AU98" t="s">
        <v>57</v>
      </c>
      <c r="AV98" t="s">
        <v>89</v>
      </c>
      <c r="AW98" t="s">
        <v>63</v>
      </c>
      <c r="AX98" t="s">
        <v>70</v>
      </c>
    </row>
    <row r="99" spans="1:50">
      <c r="A99">
        <v>25330973</v>
      </c>
      <c r="B99">
        <v>12731694</v>
      </c>
      <c r="C99" t="str">
        <f>"181022602093"</f>
        <v>181022602093</v>
      </c>
      <c r="D99" t="s">
        <v>312</v>
      </c>
      <c r="E99" t="s">
        <v>313</v>
      </c>
      <c r="G99" s="1">
        <v>43395</v>
      </c>
      <c r="I99" t="s">
        <v>74</v>
      </c>
      <c r="J99" t="s">
        <v>55</v>
      </c>
      <c r="K99" t="s">
        <v>56</v>
      </c>
      <c r="Q99" t="s">
        <v>57</v>
      </c>
      <c r="R99" t="str">
        <f>"КАЗАХСТАН, АБАЙ, 6513"</f>
        <v>КАЗАХСТАН, АБАЙ, 6513</v>
      </c>
      <c r="S99" t="str">
        <f>"ҚАЗАҚСТАН, АБАЙ, 6513"</f>
        <v>ҚАЗАҚСТАН, АБАЙ, 6513</v>
      </c>
      <c r="T99" t="str">
        <f>"6513"</f>
        <v>6513</v>
      </c>
      <c r="U99" t="str">
        <f>"6513"</f>
        <v>6513</v>
      </c>
      <c r="V99" t="str">
        <f>"2023-08-17T00:00:00"</f>
        <v>2023-08-17T00:00:00</v>
      </c>
      <c r="X99" t="str">
        <f>"Ромашка"</f>
        <v>Ромашка</v>
      </c>
      <c r="Y99" t="s">
        <v>58</v>
      </c>
      <c r="AA99" t="s">
        <v>122</v>
      </c>
      <c r="AC99" t="s">
        <v>60</v>
      </c>
      <c r="AD99" t="s">
        <v>60</v>
      </c>
      <c r="AE99" t="s">
        <v>61</v>
      </c>
      <c r="AG99" t="s">
        <v>57</v>
      </c>
      <c r="AH99" t="s">
        <v>57</v>
      </c>
      <c r="AN99" t="s">
        <v>57</v>
      </c>
      <c r="AP99" t="s">
        <v>62</v>
      </c>
      <c r="AS99" t="s">
        <v>57</v>
      </c>
      <c r="AT99" t="s">
        <v>57</v>
      </c>
      <c r="AU99" t="s">
        <v>57</v>
      </c>
      <c r="AW99" t="s">
        <v>63</v>
      </c>
      <c r="AX99" t="s">
        <v>70</v>
      </c>
    </row>
    <row r="100" spans="1:50">
      <c r="A100">
        <v>25329989</v>
      </c>
      <c r="B100">
        <v>13308288</v>
      </c>
      <c r="C100" t="str">
        <f>"210930653723"</f>
        <v>210930653723</v>
      </c>
      <c r="D100" t="s">
        <v>314</v>
      </c>
      <c r="E100" t="s">
        <v>315</v>
      </c>
      <c r="F100" t="s">
        <v>316</v>
      </c>
      <c r="G100" s="1">
        <v>44469</v>
      </c>
      <c r="I100" t="s">
        <v>74</v>
      </c>
      <c r="J100" t="s">
        <v>55</v>
      </c>
      <c r="K100" t="s">
        <v>56</v>
      </c>
      <c r="Q100" t="s">
        <v>57</v>
      </c>
      <c r="R100" t="str">
        <f t="shared" ref="R100:U103" si="12">"-"</f>
        <v>-</v>
      </c>
      <c r="S100" t="str">
        <f t="shared" si="12"/>
        <v>-</v>
      </c>
      <c r="T100" t="str">
        <f t="shared" si="12"/>
        <v>-</v>
      </c>
      <c r="U100" t="str">
        <f t="shared" si="12"/>
        <v>-</v>
      </c>
      <c r="V100" t="str">
        <f>"2023-08-17T00:00:00"</f>
        <v>2023-08-17T00:00:00</v>
      </c>
      <c r="X100" t="str">
        <f>"Айгөлек"</f>
        <v>Айгөлек</v>
      </c>
      <c r="Y100" t="s">
        <v>85</v>
      </c>
      <c r="AA100" t="s">
        <v>59</v>
      </c>
      <c r="AC100" t="s">
        <v>60</v>
      </c>
      <c r="AD100" t="s">
        <v>60</v>
      </c>
      <c r="AE100" t="s">
        <v>61</v>
      </c>
      <c r="AG100" t="s">
        <v>57</v>
      </c>
      <c r="AH100" t="s">
        <v>57</v>
      </c>
      <c r="AN100" t="s">
        <v>57</v>
      </c>
      <c r="AP100" t="s">
        <v>62</v>
      </c>
      <c r="AS100" t="s">
        <v>57</v>
      </c>
      <c r="AT100" t="s">
        <v>57</v>
      </c>
      <c r="AU100" t="s">
        <v>57</v>
      </c>
      <c r="AW100" t="s">
        <v>63</v>
      </c>
      <c r="AX100" t="s">
        <v>57</v>
      </c>
    </row>
    <row r="101" spans="1:50">
      <c r="A101">
        <v>25324646</v>
      </c>
      <c r="B101">
        <v>13307340</v>
      </c>
      <c r="C101" t="str">
        <f>"211020551687"</f>
        <v>211020551687</v>
      </c>
      <c r="D101" t="s">
        <v>317</v>
      </c>
      <c r="E101" t="s">
        <v>318</v>
      </c>
      <c r="F101" t="s">
        <v>319</v>
      </c>
      <c r="G101" s="1">
        <v>44489</v>
      </c>
      <c r="I101" t="s">
        <v>54</v>
      </c>
      <c r="J101" t="s">
        <v>55</v>
      </c>
      <c r="K101" t="s">
        <v>121</v>
      </c>
      <c r="Q101" t="s">
        <v>57</v>
      </c>
      <c r="R101" t="str">
        <f t="shared" si="12"/>
        <v>-</v>
      </c>
      <c r="S101" t="str">
        <f t="shared" si="12"/>
        <v>-</v>
      </c>
      <c r="T101" t="str">
        <f t="shared" si="12"/>
        <v>-</v>
      </c>
      <c r="U101" t="str">
        <f t="shared" si="12"/>
        <v>-</v>
      </c>
      <c r="V101" t="str">
        <f>"2023-08-17T00:00:00"</f>
        <v>2023-08-17T00:00:00</v>
      </c>
      <c r="X101" t="str">
        <f>"Айгөлек"</f>
        <v>Айгөлек</v>
      </c>
      <c r="Y101" t="s">
        <v>85</v>
      </c>
      <c r="AA101" t="s">
        <v>59</v>
      </c>
      <c r="AC101" t="s">
        <v>60</v>
      </c>
      <c r="AD101" t="s">
        <v>60</v>
      </c>
      <c r="AE101" t="s">
        <v>61</v>
      </c>
      <c r="AG101" t="s">
        <v>57</v>
      </c>
      <c r="AH101" t="s">
        <v>57</v>
      </c>
      <c r="AN101" t="s">
        <v>57</v>
      </c>
      <c r="AP101" t="s">
        <v>62</v>
      </c>
      <c r="AS101" t="s">
        <v>57</v>
      </c>
      <c r="AT101" t="s">
        <v>57</v>
      </c>
      <c r="AU101" t="s">
        <v>70</v>
      </c>
      <c r="AV101" t="s">
        <v>89</v>
      </c>
      <c r="AW101" t="s">
        <v>63</v>
      </c>
      <c r="AX101" t="s">
        <v>57</v>
      </c>
    </row>
    <row r="102" spans="1:50">
      <c r="A102">
        <v>24833200</v>
      </c>
      <c r="B102">
        <v>13119902</v>
      </c>
      <c r="C102" t="str">
        <f>"210812653464"</f>
        <v>210812653464</v>
      </c>
      <c r="D102" t="s">
        <v>320</v>
      </c>
      <c r="E102" t="s">
        <v>321</v>
      </c>
      <c r="G102" s="1">
        <v>44420</v>
      </c>
      <c r="I102" t="s">
        <v>74</v>
      </c>
      <c r="J102" t="s">
        <v>55</v>
      </c>
      <c r="K102" t="s">
        <v>56</v>
      </c>
      <c r="Q102" t="s">
        <v>57</v>
      </c>
      <c r="R102" t="str">
        <f t="shared" si="12"/>
        <v>-</v>
      </c>
      <c r="S102" t="str">
        <f t="shared" si="12"/>
        <v>-</v>
      </c>
      <c r="T102" t="str">
        <f t="shared" si="12"/>
        <v>-</v>
      </c>
      <c r="U102" t="str">
        <f t="shared" si="12"/>
        <v>-</v>
      </c>
      <c r="V102" t="str">
        <f>"2023-05-17T00:00:00"</f>
        <v>2023-05-17T00:00:00</v>
      </c>
      <c r="X102" t="str">
        <f>"Солнышко"</f>
        <v>Солнышко</v>
      </c>
      <c r="Y102" t="s">
        <v>85</v>
      </c>
      <c r="AA102" t="s">
        <v>122</v>
      </c>
      <c r="AC102" t="s">
        <v>60</v>
      </c>
      <c r="AD102" t="s">
        <v>60</v>
      </c>
      <c r="AE102" t="s">
        <v>61</v>
      </c>
      <c r="AG102" t="s">
        <v>57</v>
      </c>
      <c r="AH102" t="s">
        <v>57</v>
      </c>
      <c r="AN102" t="s">
        <v>57</v>
      </c>
      <c r="AP102" t="s">
        <v>62</v>
      </c>
      <c r="AS102" t="s">
        <v>57</v>
      </c>
      <c r="AT102" t="s">
        <v>57</v>
      </c>
      <c r="AU102" t="s">
        <v>57</v>
      </c>
      <c r="AW102" t="s">
        <v>63</v>
      </c>
      <c r="AX102" t="s">
        <v>57</v>
      </c>
    </row>
    <row r="103" spans="1:50">
      <c r="A103">
        <v>24377477</v>
      </c>
      <c r="B103">
        <v>12704667</v>
      </c>
      <c r="C103" t="str">
        <f>"200617501087"</f>
        <v>200617501087</v>
      </c>
      <c r="D103" t="s">
        <v>322</v>
      </c>
      <c r="E103" t="s">
        <v>323</v>
      </c>
      <c r="F103" t="s">
        <v>324</v>
      </c>
      <c r="G103" s="1">
        <v>43999</v>
      </c>
      <c r="I103" t="s">
        <v>54</v>
      </c>
      <c r="J103" t="s">
        <v>55</v>
      </c>
      <c r="K103" t="s">
        <v>56</v>
      </c>
      <c r="Q103" t="s">
        <v>57</v>
      </c>
      <c r="R103" t="str">
        <f t="shared" si="12"/>
        <v>-</v>
      </c>
      <c r="S103" t="str">
        <f t="shared" si="12"/>
        <v>-</v>
      </c>
      <c r="T103" t="str">
        <f t="shared" si="12"/>
        <v>-</v>
      </c>
      <c r="U103" t="str">
        <f t="shared" si="12"/>
        <v>-</v>
      </c>
      <c r="V103" t="str">
        <f>"2022-12-01T00:00:00"</f>
        <v>2022-12-01T00:00:00</v>
      </c>
      <c r="X103" t="str">
        <f>"Балдәурен"</f>
        <v>Балдәурен</v>
      </c>
      <c r="Y103" t="s">
        <v>66</v>
      </c>
      <c r="AA103" t="s">
        <v>59</v>
      </c>
      <c r="AC103" t="s">
        <v>60</v>
      </c>
      <c r="AD103" t="s">
        <v>60</v>
      </c>
      <c r="AE103" t="s">
        <v>61</v>
      </c>
      <c r="AG103" t="s">
        <v>57</v>
      </c>
      <c r="AH103" t="s">
        <v>57</v>
      </c>
      <c r="AN103" t="s">
        <v>57</v>
      </c>
      <c r="AP103" t="s">
        <v>62</v>
      </c>
      <c r="AS103" t="s">
        <v>57</v>
      </c>
      <c r="AT103" t="s">
        <v>57</v>
      </c>
      <c r="AU103" t="s">
        <v>57</v>
      </c>
      <c r="AW103" t="s">
        <v>63</v>
      </c>
      <c r="AX103" t="s">
        <v>70</v>
      </c>
    </row>
    <row r="104" spans="1:50">
      <c r="A104">
        <v>24325658</v>
      </c>
      <c r="B104">
        <v>10118744</v>
      </c>
      <c r="C104" t="str">
        <f>"190419603267"</f>
        <v>190419603267</v>
      </c>
      <c r="D104" t="s">
        <v>325</v>
      </c>
      <c r="E104" t="s">
        <v>127</v>
      </c>
      <c r="F104" t="s">
        <v>326</v>
      </c>
      <c r="G104" s="1">
        <v>43574</v>
      </c>
      <c r="I104" t="s">
        <v>74</v>
      </c>
      <c r="J104" t="s">
        <v>55</v>
      </c>
      <c r="K104" t="s">
        <v>56</v>
      </c>
      <c r="Q104" t="s">
        <v>57</v>
      </c>
      <c r="R104" t="str">
        <f>"КАЗАХСТАН, В-КАЗАХСТАНСКАЯ, САМАРСКИЙ РАЙОН, Самарский, Самарское, 14"</f>
        <v>КАЗАХСТАН, В-КАЗАХСТАНСКАЯ, САМАРСКИЙ РАЙОН, Самарский, Самарское, 14</v>
      </c>
      <c r="S104" t="str">
        <f>"ҚАЗАҚСТАН, ШЫҒ-ҚАЗАҚСТАН, САМАР АУДАНЫ, Самарский, Самарское, 14"</f>
        <v>ҚАЗАҚСТАН, ШЫҒ-ҚАЗАҚСТАН, САМАР АУДАНЫ, Самарский, Самарское, 14</v>
      </c>
      <c r="T104" t="str">
        <f>"Самарский, Самарское, 14"</f>
        <v>Самарский, Самарское, 14</v>
      </c>
      <c r="U104" t="str">
        <f>"Самарский, Самарское, 14"</f>
        <v>Самарский, Самарское, 14</v>
      </c>
      <c r="V104" t="str">
        <f>"2022-11-17T00:00:00"</f>
        <v>2022-11-17T00:00:00</v>
      </c>
      <c r="X104" t="str">
        <f>"Ромашка"</f>
        <v>Ромашка</v>
      </c>
      <c r="Y104" t="s">
        <v>58</v>
      </c>
      <c r="AA104" t="s">
        <v>122</v>
      </c>
      <c r="AC104" t="s">
        <v>60</v>
      </c>
      <c r="AD104" t="s">
        <v>60</v>
      </c>
      <c r="AE104" t="s">
        <v>61</v>
      </c>
      <c r="AG104" t="s">
        <v>57</v>
      </c>
      <c r="AH104" t="s">
        <v>57</v>
      </c>
      <c r="AN104" t="s">
        <v>57</v>
      </c>
      <c r="AP104" t="s">
        <v>62</v>
      </c>
      <c r="AS104" t="s">
        <v>57</v>
      </c>
      <c r="AT104" t="s">
        <v>57</v>
      </c>
      <c r="AU104" t="s">
        <v>57</v>
      </c>
      <c r="AW104" t="s">
        <v>63</v>
      </c>
      <c r="AX104" t="s">
        <v>57</v>
      </c>
    </row>
    <row r="105" spans="1:50">
      <c r="A105">
        <v>24323521</v>
      </c>
      <c r="B105">
        <v>12980296</v>
      </c>
      <c r="C105" t="str">
        <f>"200820505579"</f>
        <v>200820505579</v>
      </c>
      <c r="D105" t="s">
        <v>259</v>
      </c>
      <c r="E105" t="s">
        <v>327</v>
      </c>
      <c r="F105" t="s">
        <v>328</v>
      </c>
      <c r="G105" s="1">
        <v>44063</v>
      </c>
      <c r="I105" t="s">
        <v>54</v>
      </c>
      <c r="J105" t="s">
        <v>55</v>
      </c>
      <c r="K105" t="s">
        <v>56</v>
      </c>
      <c r="Q105" t="s">
        <v>57</v>
      </c>
      <c r="R105" t="str">
        <f>"-"</f>
        <v>-</v>
      </c>
      <c r="S105" t="str">
        <f>"-"</f>
        <v>-</v>
      </c>
      <c r="T105" t="str">
        <f>"-"</f>
        <v>-</v>
      </c>
      <c r="U105" t="str">
        <f>"-"</f>
        <v>-</v>
      </c>
      <c r="V105" t="str">
        <f>"2022-11-16T00:00:00"</f>
        <v>2022-11-16T00:00:00</v>
      </c>
      <c r="X105" t="str">
        <f>"Қошақан"</f>
        <v>Қошақан</v>
      </c>
      <c r="Y105" t="s">
        <v>66</v>
      </c>
      <c r="AA105" t="s">
        <v>59</v>
      </c>
      <c r="AB105" t="s">
        <v>81</v>
      </c>
      <c r="AC105" t="s">
        <v>60</v>
      </c>
      <c r="AD105" t="s">
        <v>60</v>
      </c>
      <c r="AE105" t="s">
        <v>61</v>
      </c>
      <c r="AG105" t="s">
        <v>57</v>
      </c>
      <c r="AH105" t="s">
        <v>57</v>
      </c>
      <c r="AN105" t="s">
        <v>57</v>
      </c>
      <c r="AP105" t="s">
        <v>62</v>
      </c>
      <c r="AS105" t="s">
        <v>57</v>
      </c>
      <c r="AT105" t="s">
        <v>57</v>
      </c>
      <c r="AU105" t="s">
        <v>57</v>
      </c>
      <c r="AW105" t="s">
        <v>63</v>
      </c>
      <c r="AX105" t="s">
        <v>70</v>
      </c>
    </row>
    <row r="106" spans="1:50">
      <c r="A106">
        <v>22977163</v>
      </c>
      <c r="B106">
        <v>10117978</v>
      </c>
      <c r="C106" t="str">
        <f>"190215503846"</f>
        <v>190215503846</v>
      </c>
      <c r="D106" t="s">
        <v>180</v>
      </c>
      <c r="E106" t="s">
        <v>329</v>
      </c>
      <c r="F106" t="s">
        <v>330</v>
      </c>
      <c r="G106" s="1">
        <v>43511</v>
      </c>
      <c r="I106" t="s">
        <v>54</v>
      </c>
      <c r="J106" t="s">
        <v>55</v>
      </c>
      <c r="K106" t="s">
        <v>56</v>
      </c>
      <c r="Q106" t="s">
        <v>57</v>
      </c>
      <c r="R106" t="str">
        <f>"КАЗАХСТАН, Кокпектинский, Кокпекты, 13, 2"</f>
        <v>КАЗАХСТАН, Кокпектинский, Кокпекты, 13, 2</v>
      </c>
      <c r="S106" t="str">
        <f>"ҚАЗАҚСТАН, Кокпектинский, Кокпекты, 13, 2"</f>
        <v>ҚАЗАҚСТАН, Кокпектинский, Кокпекты, 13, 2</v>
      </c>
      <c r="T106" t="str">
        <f>"Кокпектинский, Кокпекты, 13, 2"</f>
        <v>Кокпектинский, Кокпекты, 13, 2</v>
      </c>
      <c r="U106" t="str">
        <f>"Кокпектинский, Кокпекты, 13, 2"</f>
        <v>Кокпектинский, Кокпекты, 13, 2</v>
      </c>
      <c r="V106" t="str">
        <f>"2022-08-31T00:00:00"</f>
        <v>2022-08-31T00:00:00</v>
      </c>
      <c r="X106" t="str">
        <f>"Ромашка"</f>
        <v>Ромашка</v>
      </c>
      <c r="Y106" t="s">
        <v>58</v>
      </c>
      <c r="AA106" t="s">
        <v>122</v>
      </c>
      <c r="AC106" t="s">
        <v>60</v>
      </c>
      <c r="AD106" t="s">
        <v>60</v>
      </c>
      <c r="AE106" t="s">
        <v>61</v>
      </c>
      <c r="AG106" t="s">
        <v>57</v>
      </c>
      <c r="AH106" t="s">
        <v>57</v>
      </c>
      <c r="AN106" t="s">
        <v>57</v>
      </c>
      <c r="AO106" t="str">
        <f>"2022-07-13T00:00:00"</f>
        <v>2022-07-13T00:00:00</v>
      </c>
      <c r="AP106" t="s">
        <v>62</v>
      </c>
      <c r="AS106" t="s">
        <v>57</v>
      </c>
      <c r="AT106" t="s">
        <v>57</v>
      </c>
      <c r="AU106" t="s">
        <v>57</v>
      </c>
      <c r="AW106" t="s">
        <v>63</v>
      </c>
      <c r="AX106" t="s">
        <v>57</v>
      </c>
    </row>
    <row r="107" spans="1:50">
      <c r="A107">
        <v>22815525</v>
      </c>
      <c r="B107">
        <v>9826236</v>
      </c>
      <c r="C107" t="str">
        <f>"180926604271"</f>
        <v>180926604271</v>
      </c>
      <c r="D107" t="s">
        <v>331</v>
      </c>
      <c r="E107" t="s">
        <v>332</v>
      </c>
      <c r="F107" t="s">
        <v>333</v>
      </c>
      <c r="G107" s="1">
        <v>43369</v>
      </c>
      <c r="I107" t="s">
        <v>74</v>
      </c>
      <c r="J107" t="s">
        <v>55</v>
      </c>
      <c r="K107" t="s">
        <v>56</v>
      </c>
      <c r="Q107" t="s">
        <v>57</v>
      </c>
      <c r="R107" t="str">
        <f>"КАЗАХСТАН, В-КАЗАХСТАНСКАЯ, УРДЖАРСКИЙ РАЙОН, Урджарский, Урджар, 109"</f>
        <v>КАЗАХСТАН, В-КАЗАХСТАНСКАЯ, УРДЖАРСКИЙ РАЙОН, Урджарский, Урджар, 109</v>
      </c>
      <c r="S107" t="str">
        <f>"ҚАЗАҚСТАН, ШЫҒ-ҚАЗАҚСТАН, ҰРЖАР АУДАНЫ, Урджарский, Урджар, 109"</f>
        <v>ҚАЗАҚСТАН, ШЫҒ-ҚАЗАҚСТАН, ҰРЖАР АУДАНЫ, Урджарский, Урджар, 109</v>
      </c>
      <c r="T107" t="str">
        <f>"Урджарский, Урджар, 109"</f>
        <v>Урджарский, Урджар, 109</v>
      </c>
      <c r="U107" t="str">
        <f>"Урджарский, Урджар, 109"</f>
        <v>Урджарский, Урджар, 109</v>
      </c>
      <c r="V107" t="str">
        <f>"2022-08-25T00:00:00"</f>
        <v>2022-08-25T00:00:00</v>
      </c>
      <c r="X107" t="str">
        <f>"Балапан"</f>
        <v>Балапан</v>
      </c>
      <c r="Y107" t="s">
        <v>58</v>
      </c>
      <c r="AA107" t="s">
        <v>59</v>
      </c>
      <c r="AC107" t="s">
        <v>60</v>
      </c>
      <c r="AD107" t="s">
        <v>60</v>
      </c>
      <c r="AE107" t="s">
        <v>61</v>
      </c>
      <c r="AG107" t="s">
        <v>57</v>
      </c>
      <c r="AH107" t="s">
        <v>57</v>
      </c>
      <c r="AN107" t="s">
        <v>57</v>
      </c>
      <c r="AP107" t="s">
        <v>62</v>
      </c>
      <c r="AS107" t="s">
        <v>57</v>
      </c>
      <c r="AT107" t="s">
        <v>57</v>
      </c>
      <c r="AU107" t="s">
        <v>70</v>
      </c>
      <c r="AV107" t="s">
        <v>89</v>
      </c>
      <c r="AW107" t="s">
        <v>63</v>
      </c>
      <c r="AX107" t="s">
        <v>70</v>
      </c>
    </row>
    <row r="108" spans="1:50">
      <c r="A108">
        <v>22810295</v>
      </c>
      <c r="B108">
        <v>12673606</v>
      </c>
      <c r="C108" t="str">
        <f>"210228652510"</f>
        <v>210228652510</v>
      </c>
      <c r="D108" t="s">
        <v>334</v>
      </c>
      <c r="E108" t="s">
        <v>335</v>
      </c>
      <c r="F108" t="s">
        <v>336</v>
      </c>
      <c r="G108" s="1">
        <v>44255</v>
      </c>
      <c r="I108" t="s">
        <v>74</v>
      </c>
      <c r="J108" t="s">
        <v>55</v>
      </c>
      <c r="K108" t="s">
        <v>56</v>
      </c>
      <c r="Q108" t="s">
        <v>57</v>
      </c>
      <c r="R108" t="str">
        <f>"-"</f>
        <v>-</v>
      </c>
      <c r="S108" t="str">
        <f>"-"</f>
        <v>-</v>
      </c>
      <c r="T108" t="str">
        <f>"-"</f>
        <v>-</v>
      </c>
      <c r="U108" t="str">
        <f>"-"</f>
        <v>-</v>
      </c>
      <c r="V108" t="str">
        <f>"2022-08-25T00:00:00"</f>
        <v>2022-08-25T00:00:00</v>
      </c>
      <c r="X108" t="str">
        <f>"Солнышко"</f>
        <v>Солнышко</v>
      </c>
      <c r="Y108" t="s">
        <v>85</v>
      </c>
      <c r="AA108" t="s">
        <v>122</v>
      </c>
      <c r="AC108" t="s">
        <v>60</v>
      </c>
      <c r="AD108" t="s">
        <v>60</v>
      </c>
      <c r="AE108" t="s">
        <v>61</v>
      </c>
      <c r="AG108" t="s">
        <v>57</v>
      </c>
      <c r="AH108" t="s">
        <v>57</v>
      </c>
      <c r="AN108" t="s">
        <v>57</v>
      </c>
      <c r="AP108" t="s">
        <v>62</v>
      </c>
      <c r="AS108" t="s">
        <v>57</v>
      </c>
      <c r="AT108" t="s">
        <v>57</v>
      </c>
      <c r="AU108" t="s">
        <v>57</v>
      </c>
      <c r="AW108" t="s">
        <v>63</v>
      </c>
      <c r="AX108" t="s">
        <v>57</v>
      </c>
    </row>
    <row r="109" spans="1:50">
      <c r="A109">
        <v>22810120</v>
      </c>
      <c r="B109">
        <v>11851615</v>
      </c>
      <c r="C109" t="str">
        <f>"190722503278"</f>
        <v>190722503278</v>
      </c>
      <c r="D109" t="s">
        <v>337</v>
      </c>
      <c r="E109" t="s">
        <v>338</v>
      </c>
      <c r="G109" s="1">
        <v>43668</v>
      </c>
      <c r="I109" t="s">
        <v>54</v>
      </c>
      <c r="J109" t="s">
        <v>55</v>
      </c>
      <c r="K109" t="s">
        <v>56</v>
      </c>
      <c r="Q109" t="s">
        <v>57</v>
      </c>
      <c r="R109" t="str">
        <f>"КАЗАХСТАН, В-КАЗАХСТАНСКАЯ, КОКПЕКТИНСКИЙ Р-Н, АУЫЛДЫҚ ОКРУГІ Кокпектинский, АУЫЛЫ Кокпекты, 49"</f>
        <v>КАЗАХСТАН, В-КАЗАХСТАНСКАЯ, КОКПЕКТИНСКИЙ Р-Н, АУЫЛДЫҚ ОКРУГІ Кокпектинский, АУЫЛЫ Кокпекты, 49</v>
      </c>
      <c r="S109" t="str">
        <f>"ҚАЗАҚСТАН, ШЫҒ-ҚАЗАҚСТАН, КӨКПЕКТІ АУДАНЫ, АУЫЛДЫҚ ОКРУГІ Кокпектинский, АУЫЛЫ Кокпекты, 49"</f>
        <v>ҚАЗАҚСТАН, ШЫҒ-ҚАЗАҚСТАН, КӨКПЕКТІ АУДАНЫ, АУЫЛДЫҚ ОКРУГІ Кокпектинский, АУЫЛЫ Кокпекты, 49</v>
      </c>
      <c r="T109" t="str">
        <f>"АУЫЛДЫҚ ОКРУГІ Кокпектинский, АУЫЛЫ Кокпекты, 49"</f>
        <v>АУЫЛДЫҚ ОКРУГІ Кокпектинский, АУЫЛЫ Кокпекты, 49</v>
      </c>
      <c r="U109" t="str">
        <f>"АУЫЛДЫҚ ОКРУГІ Кокпектинский, АУЫЛЫ Кокпекты, 49"</f>
        <v>АУЫЛДЫҚ ОКРУГІ Кокпектинский, АУЫЛЫ Кокпекты, 49</v>
      </c>
      <c r="V109" t="str">
        <f>"2022-08-25T00:00:00"</f>
        <v>2022-08-25T00:00:00</v>
      </c>
      <c r="X109" t="str">
        <f>"Балапан"</f>
        <v>Балапан</v>
      </c>
      <c r="Y109" t="s">
        <v>58</v>
      </c>
      <c r="AA109" t="s">
        <v>59</v>
      </c>
      <c r="AC109" t="s">
        <v>60</v>
      </c>
      <c r="AD109" t="s">
        <v>60</v>
      </c>
      <c r="AE109" t="s">
        <v>61</v>
      </c>
      <c r="AG109" t="s">
        <v>57</v>
      </c>
      <c r="AH109" t="s">
        <v>57</v>
      </c>
      <c r="AN109" t="s">
        <v>57</v>
      </c>
      <c r="AP109" t="s">
        <v>62</v>
      </c>
      <c r="AS109" t="s">
        <v>57</v>
      </c>
      <c r="AT109" t="s">
        <v>57</v>
      </c>
      <c r="AU109" t="s">
        <v>57</v>
      </c>
      <c r="AW109" t="s">
        <v>63</v>
      </c>
      <c r="AX109" t="s">
        <v>70</v>
      </c>
    </row>
    <row r="110" spans="1:50">
      <c r="A110">
        <v>22809985</v>
      </c>
      <c r="B110">
        <v>12673558</v>
      </c>
      <c r="C110" t="str">
        <f>"200520600840"</f>
        <v>200520600840</v>
      </c>
      <c r="D110" t="s">
        <v>339</v>
      </c>
      <c r="E110" t="s">
        <v>340</v>
      </c>
      <c r="F110" t="s">
        <v>341</v>
      </c>
      <c r="G110" s="1">
        <v>43971</v>
      </c>
      <c r="I110" t="s">
        <v>74</v>
      </c>
      <c r="J110" t="s">
        <v>55</v>
      </c>
      <c r="K110" t="s">
        <v>56</v>
      </c>
      <c r="Q110" t="s">
        <v>57</v>
      </c>
      <c r="R110" t="str">
        <f t="shared" ref="R110:U113" si="13">"-"</f>
        <v>-</v>
      </c>
      <c r="S110" t="str">
        <f t="shared" si="13"/>
        <v>-</v>
      </c>
      <c r="T110" t="str">
        <f t="shared" si="13"/>
        <v>-</v>
      </c>
      <c r="U110" t="str">
        <f t="shared" si="13"/>
        <v>-</v>
      </c>
      <c r="V110" t="str">
        <f>"2022-08-25T00:00:00"</f>
        <v>2022-08-25T00:00:00</v>
      </c>
      <c r="X110" t="str">
        <f>"Қошақан"</f>
        <v>Қошақан</v>
      </c>
      <c r="Y110" t="s">
        <v>66</v>
      </c>
      <c r="AA110" t="s">
        <v>59</v>
      </c>
      <c r="AC110" t="s">
        <v>60</v>
      </c>
      <c r="AD110" t="s">
        <v>60</v>
      </c>
      <c r="AE110" t="s">
        <v>61</v>
      </c>
      <c r="AG110" t="s">
        <v>57</v>
      </c>
      <c r="AH110" t="s">
        <v>57</v>
      </c>
      <c r="AN110" t="s">
        <v>57</v>
      </c>
      <c r="AP110" t="s">
        <v>62</v>
      </c>
      <c r="AS110" t="s">
        <v>57</v>
      </c>
      <c r="AT110" t="s">
        <v>57</v>
      </c>
      <c r="AU110" t="s">
        <v>57</v>
      </c>
      <c r="AW110" t="s">
        <v>63</v>
      </c>
      <c r="AX110" t="s">
        <v>70</v>
      </c>
    </row>
    <row r="111" spans="1:50">
      <c r="A111">
        <v>22782879</v>
      </c>
      <c r="B111">
        <v>12669005</v>
      </c>
      <c r="C111" t="str">
        <f>"200322502884"</f>
        <v>200322502884</v>
      </c>
      <c r="D111" t="s">
        <v>298</v>
      </c>
      <c r="E111" t="s">
        <v>342</v>
      </c>
      <c r="F111" t="s">
        <v>300</v>
      </c>
      <c r="G111" s="1">
        <v>43912</v>
      </c>
      <c r="I111" t="s">
        <v>54</v>
      </c>
      <c r="J111" t="s">
        <v>55</v>
      </c>
      <c r="K111" t="s">
        <v>56</v>
      </c>
      <c r="Q111" t="s">
        <v>57</v>
      </c>
      <c r="R111" t="str">
        <f t="shared" si="13"/>
        <v>-</v>
      </c>
      <c r="S111" t="str">
        <f t="shared" si="13"/>
        <v>-</v>
      </c>
      <c r="T111" t="str">
        <f t="shared" si="13"/>
        <v>-</v>
      </c>
      <c r="U111" t="str">
        <f t="shared" si="13"/>
        <v>-</v>
      </c>
      <c r="V111" t="str">
        <f>"2022-08-15T00:00:00"</f>
        <v>2022-08-15T00:00:00</v>
      </c>
      <c r="X111" t="str">
        <f>"Балдәурен"</f>
        <v>Балдәурен</v>
      </c>
      <c r="Y111" t="s">
        <v>66</v>
      </c>
      <c r="AA111" t="s">
        <v>59</v>
      </c>
      <c r="AC111" t="s">
        <v>60</v>
      </c>
      <c r="AD111" t="s">
        <v>60</v>
      </c>
      <c r="AE111" t="s">
        <v>61</v>
      </c>
      <c r="AG111" t="s">
        <v>57</v>
      </c>
      <c r="AH111" t="s">
        <v>57</v>
      </c>
      <c r="AN111" t="s">
        <v>57</v>
      </c>
      <c r="AP111" t="s">
        <v>62</v>
      </c>
      <c r="AS111" t="s">
        <v>57</v>
      </c>
      <c r="AT111" t="s">
        <v>57</v>
      </c>
      <c r="AU111" t="s">
        <v>57</v>
      </c>
      <c r="AW111" t="s">
        <v>63</v>
      </c>
      <c r="AX111" t="s">
        <v>70</v>
      </c>
    </row>
    <row r="112" spans="1:50">
      <c r="A112">
        <v>22782751</v>
      </c>
      <c r="B112">
        <v>12668990</v>
      </c>
      <c r="C112" t="str">
        <f>"200723603412"</f>
        <v>200723603412</v>
      </c>
      <c r="D112" t="s">
        <v>343</v>
      </c>
      <c r="E112" t="s">
        <v>344</v>
      </c>
      <c r="G112" s="1">
        <v>44035</v>
      </c>
      <c r="I112" t="s">
        <v>74</v>
      </c>
      <c r="J112" t="s">
        <v>55</v>
      </c>
      <c r="K112" t="s">
        <v>56</v>
      </c>
      <c r="Q112" t="s">
        <v>57</v>
      </c>
      <c r="R112" t="str">
        <f t="shared" si="13"/>
        <v>-</v>
      </c>
      <c r="S112" t="str">
        <f t="shared" si="13"/>
        <v>-</v>
      </c>
      <c r="T112" t="str">
        <f t="shared" si="13"/>
        <v>-</v>
      </c>
      <c r="U112" t="str">
        <f t="shared" si="13"/>
        <v>-</v>
      </c>
      <c r="V112" t="str">
        <f>"2022-08-20T00:00:00"</f>
        <v>2022-08-20T00:00:00</v>
      </c>
      <c r="X112" t="str">
        <f>"Солнышко"</f>
        <v>Солнышко</v>
      </c>
      <c r="Y112" t="s">
        <v>85</v>
      </c>
      <c r="AA112" t="s">
        <v>122</v>
      </c>
      <c r="AC112" t="s">
        <v>60</v>
      </c>
      <c r="AD112" t="s">
        <v>60</v>
      </c>
      <c r="AE112" t="s">
        <v>61</v>
      </c>
      <c r="AG112" t="s">
        <v>57</v>
      </c>
      <c r="AH112" t="s">
        <v>57</v>
      </c>
      <c r="AN112" t="s">
        <v>57</v>
      </c>
      <c r="AP112" t="s">
        <v>62</v>
      </c>
      <c r="AS112" t="s">
        <v>57</v>
      </c>
      <c r="AT112" t="s">
        <v>57</v>
      </c>
      <c r="AU112" t="s">
        <v>57</v>
      </c>
      <c r="AW112" t="s">
        <v>63</v>
      </c>
      <c r="AX112" t="s">
        <v>57</v>
      </c>
    </row>
    <row r="113" spans="1:50">
      <c r="A113">
        <v>22782487</v>
      </c>
      <c r="B113">
        <v>12668956</v>
      </c>
      <c r="C113" t="str">
        <f>"200717500994"</f>
        <v>200717500994</v>
      </c>
      <c r="D113" t="s">
        <v>345</v>
      </c>
      <c r="E113" t="s">
        <v>134</v>
      </c>
      <c r="F113" t="s">
        <v>346</v>
      </c>
      <c r="G113" s="1">
        <v>44029</v>
      </c>
      <c r="I113" t="s">
        <v>54</v>
      </c>
      <c r="J113" t="s">
        <v>55</v>
      </c>
      <c r="K113" t="s">
        <v>56</v>
      </c>
      <c r="Q113" t="s">
        <v>57</v>
      </c>
      <c r="R113" t="str">
        <f t="shared" si="13"/>
        <v>-</v>
      </c>
      <c r="S113" t="str">
        <f t="shared" si="13"/>
        <v>-</v>
      </c>
      <c r="T113" t="str">
        <f t="shared" si="13"/>
        <v>-</v>
      </c>
      <c r="U113" t="str">
        <f t="shared" si="13"/>
        <v>-</v>
      </c>
      <c r="V113" t="str">
        <f>"2022-08-22T00:00:00"</f>
        <v>2022-08-22T00:00:00</v>
      </c>
      <c r="X113" t="str">
        <f>"Қошақан"</f>
        <v>Қошақан</v>
      </c>
      <c r="Y113" t="s">
        <v>66</v>
      </c>
      <c r="AA113" t="s">
        <v>59</v>
      </c>
      <c r="AC113" t="s">
        <v>60</v>
      </c>
      <c r="AD113" t="s">
        <v>60</v>
      </c>
      <c r="AE113" t="s">
        <v>61</v>
      </c>
      <c r="AG113" t="s">
        <v>57</v>
      </c>
      <c r="AH113" t="s">
        <v>57</v>
      </c>
      <c r="AN113" t="s">
        <v>57</v>
      </c>
      <c r="AP113" t="s">
        <v>62</v>
      </c>
      <c r="AS113" t="s">
        <v>57</v>
      </c>
      <c r="AT113" t="s">
        <v>57</v>
      </c>
      <c r="AU113" t="s">
        <v>57</v>
      </c>
      <c r="AW113" t="s">
        <v>63</v>
      </c>
      <c r="AX113" t="s">
        <v>57</v>
      </c>
    </row>
    <row r="114" spans="1:50">
      <c r="A114">
        <v>22782373</v>
      </c>
      <c r="B114">
        <v>11272688</v>
      </c>
      <c r="C114" t="str">
        <f>"190116501594"</f>
        <v>190116501594</v>
      </c>
      <c r="D114" t="s">
        <v>133</v>
      </c>
      <c r="E114" t="s">
        <v>347</v>
      </c>
      <c r="F114" t="s">
        <v>135</v>
      </c>
      <c r="G114" s="1">
        <v>43481</v>
      </c>
      <c r="I114" t="s">
        <v>54</v>
      </c>
      <c r="J114" t="s">
        <v>55</v>
      </c>
      <c r="K114" t="s">
        <v>56</v>
      </c>
      <c r="Q114" t="s">
        <v>57</v>
      </c>
      <c r="R114" t="str">
        <f>"КАЗАХСТАН, В-КАЗАХСТАНСКАЯ, КОКПЕКТИНСКИЙ Р-Н, АУЫЛДЫҚ ОКРУГІ Кокпектинский, АУЫЛЫ Кокпекты, 34"</f>
        <v>КАЗАХСТАН, В-КАЗАХСТАНСКАЯ, КОКПЕКТИНСКИЙ Р-Н, АУЫЛДЫҚ ОКРУГІ Кокпектинский, АУЫЛЫ Кокпекты, 34</v>
      </c>
      <c r="S114" t="str">
        <f>"ҚАЗАҚСТАН, ШЫҒ-ҚАЗАҚСТАН, КӨКПЕКТІ АУДАНЫ, АУЫЛДЫҚ ОКРУГІ Кокпектинский, АУЫЛЫ Кокпекты, 34"</f>
        <v>ҚАЗАҚСТАН, ШЫҒ-ҚАЗАҚСТАН, КӨКПЕКТІ АУДАНЫ, АУЫЛДЫҚ ОКРУГІ Кокпектинский, АУЫЛЫ Кокпекты, 34</v>
      </c>
      <c r="T114" t="str">
        <f>"АУЫЛДЫҚ ОКРУГІ Кокпектинский, АУЫЛЫ Кокпекты, 34"</f>
        <v>АУЫЛДЫҚ ОКРУГІ Кокпектинский, АУЫЛЫ Кокпекты, 34</v>
      </c>
      <c r="U114" t="str">
        <f>"АУЫЛДЫҚ ОКРУГІ Кокпектинский, АУЫЛЫ Кокпекты, 34"</f>
        <v>АУЫЛДЫҚ ОКРУГІ Кокпектинский, АУЫЛЫ Кокпекты, 34</v>
      </c>
      <c r="V114" t="str">
        <f>"2019-08-23T00:00:00"</f>
        <v>2019-08-23T00:00:00</v>
      </c>
      <c r="X114" t="str">
        <f>"Балапан"</f>
        <v>Балапан</v>
      </c>
      <c r="Y114" t="s">
        <v>58</v>
      </c>
      <c r="AA114" t="s">
        <v>59</v>
      </c>
      <c r="AC114" t="s">
        <v>60</v>
      </c>
      <c r="AD114" t="s">
        <v>60</v>
      </c>
      <c r="AE114" t="s">
        <v>61</v>
      </c>
      <c r="AG114" t="s">
        <v>57</v>
      </c>
      <c r="AH114" t="s">
        <v>57</v>
      </c>
      <c r="AN114" t="s">
        <v>57</v>
      </c>
      <c r="AP114" t="s">
        <v>62</v>
      </c>
      <c r="AS114" t="s">
        <v>57</v>
      </c>
      <c r="AT114" t="s">
        <v>57</v>
      </c>
      <c r="AU114" t="s">
        <v>57</v>
      </c>
      <c r="AW114" t="s">
        <v>63</v>
      </c>
      <c r="AX114" t="s">
        <v>57</v>
      </c>
    </row>
    <row r="115" spans="1:50">
      <c r="A115">
        <v>22775373</v>
      </c>
      <c r="B115">
        <v>12667639</v>
      </c>
      <c r="C115" t="str">
        <f>"191222500862"</f>
        <v>191222500862</v>
      </c>
      <c r="D115" t="s">
        <v>348</v>
      </c>
      <c r="E115" t="s">
        <v>349</v>
      </c>
      <c r="G115" s="1">
        <v>43821</v>
      </c>
      <c r="I115" t="s">
        <v>54</v>
      </c>
      <c r="J115" t="s">
        <v>55</v>
      </c>
      <c r="K115" t="s">
        <v>56</v>
      </c>
      <c r="Q115" t="s">
        <v>57</v>
      </c>
      <c r="R115" t="str">
        <f>"КАЗАХСТАН, В-КАЗАХСТАНСКАЯ, КОКПЕКТИНСКИЙ Р-Н, АУЫЛДЫҚ ОКРУГІ Кокпектинский, АУЫЛЫ Кокпекты, 6"</f>
        <v>КАЗАХСТАН, В-КАЗАХСТАНСКАЯ, КОКПЕКТИНСКИЙ Р-Н, АУЫЛДЫҚ ОКРУГІ Кокпектинский, АУЫЛЫ Кокпекты, 6</v>
      </c>
      <c r="S115" t="str">
        <f>"ҚАЗАҚСТАН, ШЫҒ-ҚАЗАҚСТАН, КӨКПЕКТІ АУДАНЫ, АУЫЛДЫҚ ОКРУГІ Кокпектинский, АУЫЛЫ Кокпекты, 6"</f>
        <v>ҚАЗАҚСТАН, ШЫҒ-ҚАЗАҚСТАН, КӨКПЕКТІ АУДАНЫ, АУЫЛДЫҚ ОКРУГІ Кокпектинский, АУЫЛЫ Кокпекты, 6</v>
      </c>
      <c r="T115" t="str">
        <f>"АУЫЛДЫҚ ОКРУГІ Кокпектинский, АУЫЛЫ Кокпекты, 6"</f>
        <v>АУЫЛДЫҚ ОКРУГІ Кокпектинский, АУЫЛЫ Кокпекты, 6</v>
      </c>
      <c r="U115" t="str">
        <f>"АУЫЛДЫҚ ОКРУГІ Кокпектинский, АУЫЛЫ Кокпекты, 6"</f>
        <v>АУЫЛДЫҚ ОКРУГІ Кокпектинский, АУЫЛЫ Кокпекты, 6</v>
      </c>
      <c r="V115" t="str">
        <f>"2022-08-16T00:00:00"</f>
        <v>2022-08-16T00:00:00</v>
      </c>
      <c r="X115" t="str">
        <f>"Қошақан"</f>
        <v>Қошақан</v>
      </c>
      <c r="Y115" t="s">
        <v>66</v>
      </c>
      <c r="AA115" t="s">
        <v>59</v>
      </c>
      <c r="AC115" t="s">
        <v>60</v>
      </c>
      <c r="AD115" t="s">
        <v>60</v>
      </c>
      <c r="AE115" t="s">
        <v>61</v>
      </c>
      <c r="AG115" t="s">
        <v>57</v>
      </c>
      <c r="AH115" t="s">
        <v>57</v>
      </c>
      <c r="AN115" t="s">
        <v>57</v>
      </c>
      <c r="AP115" t="s">
        <v>62</v>
      </c>
      <c r="AS115" t="s">
        <v>57</v>
      </c>
      <c r="AT115" t="s">
        <v>57</v>
      </c>
      <c r="AU115" t="s">
        <v>57</v>
      </c>
      <c r="AW115" t="s">
        <v>63</v>
      </c>
      <c r="AX115" t="s">
        <v>57</v>
      </c>
    </row>
    <row r="116" spans="1:50">
      <c r="A116">
        <v>22775235</v>
      </c>
      <c r="B116">
        <v>11515630</v>
      </c>
      <c r="C116" t="str">
        <f>"200414603155"</f>
        <v>200414603155</v>
      </c>
      <c r="D116" t="s">
        <v>350</v>
      </c>
      <c r="E116" t="s">
        <v>79</v>
      </c>
      <c r="F116" t="s">
        <v>351</v>
      </c>
      <c r="G116" s="1">
        <v>43935</v>
      </c>
      <c r="I116" t="s">
        <v>74</v>
      </c>
      <c r="J116" t="s">
        <v>55</v>
      </c>
      <c r="K116" t="s">
        <v>56</v>
      </c>
      <c r="Q116" t="s">
        <v>57</v>
      </c>
      <c r="R116" t="str">
        <f>"-"</f>
        <v>-</v>
      </c>
      <c r="S116" t="str">
        <f>"-"</f>
        <v>-</v>
      </c>
      <c r="T116" t="str">
        <f>"-"</f>
        <v>-</v>
      </c>
      <c r="U116" t="str">
        <f>"-"</f>
        <v>-</v>
      </c>
      <c r="V116" t="str">
        <f>"2022-08-15T00:00:00"</f>
        <v>2022-08-15T00:00:00</v>
      </c>
      <c r="X116" t="str">
        <f>"Балдәурен"</f>
        <v>Балдәурен</v>
      </c>
      <c r="Y116" t="s">
        <v>66</v>
      </c>
      <c r="AA116" t="s">
        <v>59</v>
      </c>
      <c r="AC116" t="s">
        <v>60</v>
      </c>
      <c r="AD116" t="s">
        <v>60</v>
      </c>
      <c r="AE116" t="s">
        <v>61</v>
      </c>
      <c r="AG116" t="s">
        <v>57</v>
      </c>
      <c r="AH116" t="s">
        <v>57</v>
      </c>
      <c r="AN116" t="s">
        <v>57</v>
      </c>
      <c r="AP116" t="s">
        <v>62</v>
      </c>
      <c r="AS116" t="s">
        <v>57</v>
      </c>
      <c r="AT116" t="s">
        <v>57</v>
      </c>
      <c r="AU116" t="s">
        <v>57</v>
      </c>
      <c r="AW116" t="s">
        <v>63</v>
      </c>
      <c r="AX116" t="s">
        <v>57</v>
      </c>
    </row>
    <row r="117" spans="1:50">
      <c r="A117">
        <v>19258780</v>
      </c>
      <c r="B117">
        <v>11272685</v>
      </c>
      <c r="C117" t="str">
        <f>"181203603243"</f>
        <v>181203603243</v>
      </c>
      <c r="D117" t="s">
        <v>352</v>
      </c>
      <c r="E117" t="s">
        <v>353</v>
      </c>
      <c r="F117" t="s">
        <v>354</v>
      </c>
      <c r="G117" s="1">
        <v>43437</v>
      </c>
      <c r="I117" t="s">
        <v>74</v>
      </c>
      <c r="J117" t="s">
        <v>55</v>
      </c>
      <c r="K117" t="s">
        <v>56</v>
      </c>
      <c r="Q117" t="s">
        <v>57</v>
      </c>
      <c r="R117" t="str">
        <f>"КАЗАХСТАН, В-КАЗАХСТАНСКАЯ, СЕМЕЙ, 7/4"</f>
        <v>КАЗАХСТАН, В-КАЗАХСТАНСКАЯ, СЕМЕЙ, 7/4</v>
      </c>
      <c r="S117" t="str">
        <f>"ҚАЗАҚСТАН, ШЫҒ-ҚАЗАҚСТАН, СЕМЕЙ, 7/4"</f>
        <v>ҚАЗАҚСТАН, ШЫҒ-ҚАЗАҚСТАН, СЕМЕЙ, 7/4</v>
      </c>
      <c r="T117" t="str">
        <f>"7/4"</f>
        <v>7/4</v>
      </c>
      <c r="U117" t="str">
        <f>"7/4"</f>
        <v>7/4</v>
      </c>
      <c r="V117" t="str">
        <f>"2021-04-20T00:00:00"</f>
        <v>2021-04-20T00:00:00</v>
      </c>
      <c r="X117" t="str">
        <f>"Ромашка"</f>
        <v>Ромашка</v>
      </c>
      <c r="Y117" t="s">
        <v>58</v>
      </c>
      <c r="AA117" t="s">
        <v>122</v>
      </c>
      <c r="AC117" t="s">
        <v>60</v>
      </c>
      <c r="AD117" t="s">
        <v>60</v>
      </c>
      <c r="AE117" t="s">
        <v>61</v>
      </c>
      <c r="AG117" t="s">
        <v>57</v>
      </c>
      <c r="AH117" t="s">
        <v>57</v>
      </c>
      <c r="AN117" t="s">
        <v>57</v>
      </c>
      <c r="AP117" t="s">
        <v>62</v>
      </c>
      <c r="AS117" t="s">
        <v>57</v>
      </c>
      <c r="AT117" t="s">
        <v>57</v>
      </c>
      <c r="AU117" t="s">
        <v>57</v>
      </c>
      <c r="AW117" t="s">
        <v>63</v>
      </c>
      <c r="AX117" t="s">
        <v>57</v>
      </c>
    </row>
    <row r="118" spans="1:50">
      <c r="A118">
        <v>19258777</v>
      </c>
      <c r="B118">
        <v>11272684</v>
      </c>
      <c r="C118" t="str">
        <f>"190309500545"</f>
        <v>190309500545</v>
      </c>
      <c r="D118" t="s">
        <v>355</v>
      </c>
      <c r="E118" t="s">
        <v>356</v>
      </c>
      <c r="F118" t="s">
        <v>357</v>
      </c>
      <c r="G118" s="1">
        <v>43533</v>
      </c>
      <c r="I118" t="s">
        <v>54</v>
      </c>
      <c r="J118" t="s">
        <v>55</v>
      </c>
      <c r="K118" t="s">
        <v>56</v>
      </c>
      <c r="Q118" t="s">
        <v>57</v>
      </c>
      <c r="R118" t="str">
        <f>"КАЗАХСТАН, В-КАЗАХСТАНСКАЯ, КОКПЕКТИНСКИЙ Р-Н, Кокпектинский, Кокпекты, 49, 1"</f>
        <v>КАЗАХСТАН, В-КАЗАХСТАНСКАЯ, КОКПЕКТИНСКИЙ Р-Н, Кокпектинский, Кокпекты, 49, 1</v>
      </c>
      <c r="S118" t="str">
        <f>"ҚАЗАҚСТАН, ШЫҒ-ҚАЗАҚСТАН, КӨКПЕКТІ АУДАНЫ, Кокпектинский, Кокпекты, 49, 1"</f>
        <v>ҚАЗАҚСТАН, ШЫҒ-ҚАЗАҚСТАН, КӨКПЕКТІ АУДАНЫ, Кокпектинский, Кокпекты, 49, 1</v>
      </c>
      <c r="T118" t="str">
        <f>"Кокпектинский, Кокпекты, 49, 1"</f>
        <v>Кокпектинский, Кокпекты, 49, 1</v>
      </c>
      <c r="U118" t="str">
        <f>"Кокпектинский, Кокпекты, 49, 1"</f>
        <v>Кокпектинский, Кокпекты, 49, 1</v>
      </c>
      <c r="V118" t="str">
        <f>"2021-04-20T00:00:00"</f>
        <v>2021-04-20T00:00:00</v>
      </c>
      <c r="X118" t="str">
        <f>"Балапан"</f>
        <v>Балапан</v>
      </c>
      <c r="Y118" t="s">
        <v>58</v>
      </c>
      <c r="AA118" t="s">
        <v>59</v>
      </c>
      <c r="AC118" t="s">
        <v>60</v>
      </c>
      <c r="AD118" t="s">
        <v>60</v>
      </c>
      <c r="AE118" t="s">
        <v>61</v>
      </c>
      <c r="AG118" t="s">
        <v>57</v>
      </c>
      <c r="AH118" t="s">
        <v>57</v>
      </c>
      <c r="AN118" t="s">
        <v>57</v>
      </c>
      <c r="AP118" t="s">
        <v>62</v>
      </c>
      <c r="AS118" t="s">
        <v>57</v>
      </c>
      <c r="AT118" t="s">
        <v>57</v>
      </c>
      <c r="AU118" t="s">
        <v>57</v>
      </c>
      <c r="AW118" t="s">
        <v>63</v>
      </c>
      <c r="AX118" t="s">
        <v>57</v>
      </c>
    </row>
    <row r="119" spans="1:50">
      <c r="A119">
        <v>19147800</v>
      </c>
      <c r="B119">
        <v>11230903</v>
      </c>
      <c r="C119" t="str">
        <f>"190228602954"</f>
        <v>190228602954</v>
      </c>
      <c r="D119" t="s">
        <v>91</v>
      </c>
      <c r="E119" t="s">
        <v>358</v>
      </c>
      <c r="F119" t="s">
        <v>359</v>
      </c>
      <c r="G119" s="1">
        <v>43524</v>
      </c>
      <c r="I119" t="s">
        <v>74</v>
      </c>
      <c r="J119" t="s">
        <v>55</v>
      </c>
      <c r="K119" t="s">
        <v>56</v>
      </c>
      <c r="Q119" t="s">
        <v>57</v>
      </c>
      <c r="R119" t="str">
        <f>"КАЗАХСТАН, В-КАЗАХСТАНСКАЯ, КОКПЕКТИНСКИЙ Р-Н, Кокпектинский, Кокпекты, 9"</f>
        <v>КАЗАХСТАН, В-КАЗАХСТАНСКАЯ, КОКПЕКТИНСКИЙ Р-Н, Кокпектинский, Кокпекты, 9</v>
      </c>
      <c r="S119" t="str">
        <f>"ҚАЗАҚСТАН, ШЫҒ-ҚАЗАҚСТАН, КӨКПЕКТІ АУДАНЫ, Кокпектинский, Кокпекты, 9"</f>
        <v>ҚАЗАҚСТАН, ШЫҒ-ҚАЗАҚСТАН, КӨКПЕКТІ АУДАНЫ, Кокпектинский, Кокпекты, 9</v>
      </c>
      <c r="T119" t="str">
        <f>"Кокпектинский, Кокпекты, 9"</f>
        <v>Кокпектинский, Кокпекты, 9</v>
      </c>
      <c r="U119" t="str">
        <f>"Кокпектинский, Кокпекты, 9"</f>
        <v>Кокпектинский, Кокпекты, 9</v>
      </c>
      <c r="V119" t="str">
        <f>"2021-04-01T00:00:00"</f>
        <v>2021-04-01T00:00:00</v>
      </c>
      <c r="X119" t="str">
        <f>"Ромашка"</f>
        <v>Ромашка</v>
      </c>
      <c r="Y119" t="s">
        <v>58</v>
      </c>
      <c r="AA119" t="s">
        <v>122</v>
      </c>
      <c r="AC119" t="s">
        <v>60</v>
      </c>
      <c r="AD119" t="s">
        <v>60</v>
      </c>
      <c r="AE119" t="s">
        <v>61</v>
      </c>
      <c r="AG119" t="s">
        <v>57</v>
      </c>
      <c r="AH119" t="s">
        <v>57</v>
      </c>
      <c r="AN119" t="s">
        <v>57</v>
      </c>
      <c r="AP119" t="s">
        <v>62</v>
      </c>
      <c r="AS119" t="s">
        <v>57</v>
      </c>
      <c r="AT119" t="s">
        <v>57</v>
      </c>
      <c r="AU119" t="s">
        <v>57</v>
      </c>
      <c r="AW119" t="s">
        <v>63</v>
      </c>
      <c r="AX119" t="s">
        <v>57</v>
      </c>
    </row>
    <row r="120" spans="1:50">
      <c r="A120">
        <v>19147798</v>
      </c>
      <c r="B120">
        <v>11230901</v>
      </c>
      <c r="C120" t="str">
        <f>"190523601966"</f>
        <v>190523601966</v>
      </c>
      <c r="D120" t="s">
        <v>360</v>
      </c>
      <c r="E120" t="s">
        <v>361</v>
      </c>
      <c r="F120" t="s">
        <v>362</v>
      </c>
      <c r="G120" s="1">
        <v>43608</v>
      </c>
      <c r="I120" t="s">
        <v>74</v>
      </c>
      <c r="J120" t="s">
        <v>55</v>
      </c>
      <c r="K120" t="s">
        <v>56</v>
      </c>
      <c r="Q120" t="s">
        <v>57</v>
      </c>
      <c r="R120" t="str">
        <f>"КАЗАХСТАН, В-КАЗАХСТАНСКАЯ, КОКПЕКТИНСКИЙ Р-Н, Кокпектинский, Кокпекты, 18"</f>
        <v>КАЗАХСТАН, В-КАЗАХСТАНСКАЯ, КОКПЕКТИНСКИЙ Р-Н, Кокпектинский, Кокпекты, 18</v>
      </c>
      <c r="S120" t="str">
        <f>"ҚАЗАҚСТАН, ШЫҒ-ҚАЗАҚСТАН, КӨКПЕКТІ АУДАНЫ, Кокпектинский, Кокпекты, 18"</f>
        <v>ҚАЗАҚСТАН, ШЫҒ-ҚАЗАҚСТАН, КӨКПЕКТІ АУДАНЫ, Кокпектинский, Кокпекты, 18</v>
      </c>
      <c r="T120" t="str">
        <f>"Кокпектинский, Кокпекты, 18"</f>
        <v>Кокпектинский, Кокпекты, 18</v>
      </c>
      <c r="U120" t="str">
        <f>"Кокпектинский, Кокпекты, 18"</f>
        <v>Кокпектинский, Кокпекты, 18</v>
      </c>
      <c r="V120" t="str">
        <f>"2021-04-01T00:00:00"</f>
        <v>2021-04-01T00:00:00</v>
      </c>
      <c r="X120" t="str">
        <f>"Балапан"</f>
        <v>Балапан</v>
      </c>
      <c r="Y120" t="s">
        <v>58</v>
      </c>
      <c r="AA120" t="s">
        <v>59</v>
      </c>
      <c r="AC120" t="s">
        <v>60</v>
      </c>
      <c r="AD120" t="s">
        <v>60</v>
      </c>
      <c r="AE120" t="s">
        <v>61</v>
      </c>
      <c r="AG120" t="s">
        <v>57</v>
      </c>
      <c r="AH120" t="s">
        <v>57</v>
      </c>
      <c r="AN120" t="s">
        <v>57</v>
      </c>
      <c r="AP120" t="s">
        <v>62</v>
      </c>
      <c r="AS120" t="s">
        <v>57</v>
      </c>
      <c r="AT120" t="s">
        <v>57</v>
      </c>
      <c r="AU120" t="s">
        <v>57</v>
      </c>
      <c r="AW120" t="s">
        <v>63</v>
      </c>
      <c r="AX120" t="s">
        <v>70</v>
      </c>
    </row>
    <row r="121" spans="1:50">
      <c r="A121">
        <v>19147780</v>
      </c>
      <c r="B121">
        <v>11230890</v>
      </c>
      <c r="C121" t="str">
        <f>"181126501708"</f>
        <v>181126501708</v>
      </c>
      <c r="D121" t="s">
        <v>300</v>
      </c>
      <c r="E121" t="s">
        <v>363</v>
      </c>
      <c r="G121" s="1">
        <v>43430</v>
      </c>
      <c r="I121" t="s">
        <v>54</v>
      </c>
      <c r="J121" t="s">
        <v>55</v>
      </c>
      <c r="K121" t="s">
        <v>56</v>
      </c>
      <c r="Q121" t="s">
        <v>57</v>
      </c>
      <c r="R121" t="str">
        <f>"КАЗАХСТАН, В-КАЗАХСТАНСКАЯ, КОКПЕКТИНСКИЙ Р-Н, Кокпектинский, Кокпекты, 45,  Блок 1, 2"</f>
        <v>КАЗАХСТАН, В-КАЗАХСТАНСКАЯ, КОКПЕКТИНСКИЙ Р-Н, Кокпектинский, Кокпекты, 45,  Блок 1, 2</v>
      </c>
      <c r="S121" t="str">
        <f>"ҚАЗАҚСТАН, ШЫҒ-ҚАЗАҚСТАН, КӨКПЕКТІ АУДАНЫ, Кокпектинский, Кокпекты, 45,  Блок 1, 2"</f>
        <v>ҚАЗАҚСТАН, ШЫҒ-ҚАЗАҚСТАН, КӨКПЕКТІ АУДАНЫ, Кокпектинский, Кокпекты, 45,  Блок 1, 2</v>
      </c>
      <c r="T121" t="str">
        <f>"Кокпектинский, Кокпекты, 45,  Блок 1, 2"</f>
        <v>Кокпектинский, Кокпекты, 45,  Блок 1, 2</v>
      </c>
      <c r="U121" t="str">
        <f>"Кокпектинский, Кокпекты, 45,  Блок 1, 2"</f>
        <v>Кокпектинский, Кокпекты, 45,  Блок 1, 2</v>
      </c>
      <c r="V121" t="str">
        <f>"2021-03-26T00:00:00"</f>
        <v>2021-03-26T00:00:00</v>
      </c>
      <c r="X121" t="str">
        <f>"Ромашка"</f>
        <v>Ромашка</v>
      </c>
      <c r="Y121" t="s">
        <v>58</v>
      </c>
      <c r="AA121" t="s">
        <v>122</v>
      </c>
      <c r="AC121" t="s">
        <v>60</v>
      </c>
      <c r="AD121" t="s">
        <v>60</v>
      </c>
      <c r="AE121" t="s">
        <v>61</v>
      </c>
      <c r="AG121" t="s">
        <v>57</v>
      </c>
      <c r="AH121" t="s">
        <v>57</v>
      </c>
      <c r="AN121" t="s">
        <v>57</v>
      </c>
      <c r="AP121" t="s">
        <v>62</v>
      </c>
      <c r="AS121" t="s">
        <v>57</v>
      </c>
      <c r="AT121" t="s">
        <v>57</v>
      </c>
      <c r="AU121" t="s">
        <v>57</v>
      </c>
      <c r="AW121" t="s">
        <v>63</v>
      </c>
      <c r="AX12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Контингент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2024-02-04T08:59:18Z</dcterms:created>
  <dcterms:modified xsi:type="dcterms:W3CDTF">2024-02-04T08:59:18Z</dcterms:modified>
</cp:coreProperties>
</file>